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B3E0DC52-5316-44D1-B644-667E39ABD3CE}" xr6:coauthVersionLast="44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&amp;L" sheetId="1" r:id="rId1"/>
    <sheet name="BS" sheetId="3" r:id="rId2"/>
    <sheet name="CF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1" i="1" l="1"/>
  <c r="R46" i="1"/>
  <c r="R29" i="1" l="1"/>
  <c r="R13" i="1"/>
  <c r="R18" i="1"/>
  <c r="R20" i="1"/>
  <c r="R23" i="1"/>
  <c r="R41" i="1"/>
  <c r="R59" i="1"/>
  <c r="R40" i="1" l="1"/>
  <c r="R58" i="1" s="1"/>
  <c r="R62" i="1" s="1"/>
  <c r="R64" i="1" l="1"/>
  <c r="R65" i="1" s="1"/>
  <c r="R35" i="2"/>
  <c r="R23" i="2"/>
  <c r="S47" i="3"/>
  <c r="S37" i="3"/>
  <c r="S31" i="3"/>
  <c r="T23" i="3"/>
  <c r="S23" i="3"/>
  <c r="S12" i="3"/>
  <c r="S48" i="3" l="1"/>
  <c r="S50" i="3" s="1"/>
  <c r="S24" i="3"/>
  <c r="S8" i="2"/>
  <c r="S12" i="2" s="1"/>
  <c r="S35" i="2"/>
  <c r="Q35" i="2"/>
  <c r="Q23" i="2"/>
  <c r="R8" i="2"/>
  <c r="R12" i="2" s="1"/>
  <c r="R37" i="2" s="1"/>
  <c r="R44" i="2" s="1"/>
  <c r="R50" i="2" s="1"/>
  <c r="Q8" i="2"/>
  <c r="Q12" i="2" s="1"/>
  <c r="T31" i="3"/>
  <c r="Q37" i="2" l="1"/>
  <c r="Q44" i="2" s="1"/>
  <c r="S23" i="2"/>
  <c r="T37" i="3"/>
  <c r="T12" i="3"/>
  <c r="T24" i="3" s="1"/>
  <c r="T47" i="3"/>
  <c r="T48" i="3" l="1"/>
  <c r="T50" i="3" s="1"/>
  <c r="S37" i="2"/>
  <c r="S44" i="2" s="1"/>
  <c r="S50" i="2" s="1"/>
  <c r="Q59" i="1"/>
  <c r="Q46" i="1"/>
  <c r="Q41" i="1"/>
  <c r="Q18" i="1"/>
  <c r="S20" i="1"/>
  <c r="S59" i="1" l="1"/>
  <c r="S23" i="1"/>
  <c r="S46" i="1"/>
  <c r="S29" i="1"/>
  <c r="S13" i="1"/>
  <c r="S18" i="1"/>
  <c r="S40" i="1" l="1"/>
  <c r="S58" i="1" s="1"/>
  <c r="S64" i="1" l="1"/>
  <c r="S65" i="1" s="1"/>
  <c r="S62" i="1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R37" i="3" l="1"/>
  <c r="R31" i="3"/>
  <c r="R23" i="3"/>
  <c r="R12" i="3"/>
  <c r="Q29" i="1"/>
  <c r="R24" i="3" l="1"/>
  <c r="Q13" i="1"/>
  <c r="Q11" i="3" l="1"/>
  <c r="P41" i="1" l="1"/>
  <c r="P8" i="2" l="1"/>
  <c r="P12" i="2" s="1"/>
  <c r="Q50" i="2" l="1"/>
  <c r="P23" i="2" l="1"/>
  <c r="R47" i="3" l="1"/>
  <c r="Q31" i="3"/>
  <c r="Q23" i="3"/>
  <c r="P59" i="1"/>
  <c r="P46" i="1"/>
  <c r="P29" i="1"/>
  <c r="Q23" i="1"/>
  <c r="Q40" i="1" s="1"/>
  <c r="P23" i="1"/>
  <c r="C23" i="1"/>
  <c r="Q64" i="1" l="1"/>
  <c r="Q65" i="1" s="1"/>
  <c r="Q58" i="1"/>
  <c r="Q62" i="1" s="1"/>
  <c r="R48" i="3"/>
  <c r="R50" i="3" s="1"/>
  <c r="D18" i="1"/>
  <c r="C18" i="1"/>
  <c r="P37" i="2" l="1"/>
  <c r="P18" i="1"/>
  <c r="Q47" i="3" l="1"/>
  <c r="Q37" i="3"/>
  <c r="Q12" i="3"/>
  <c r="Q24" i="3" s="1"/>
  <c r="P44" i="2" l="1"/>
  <c r="P50" i="2" s="1"/>
  <c r="Q48" i="3"/>
  <c r="Q50" i="3" s="1"/>
  <c r="O41" i="1" l="1"/>
  <c r="P23" i="3" l="1"/>
  <c r="O29" i="1"/>
  <c r="P12" i="3" l="1"/>
  <c r="P47" i="3" l="1"/>
  <c r="P37" i="3"/>
  <c r="P31" i="3"/>
  <c r="P24" i="3"/>
  <c r="O18" i="1"/>
  <c r="P48" i="3" l="1"/>
  <c r="P50" i="3" s="1"/>
  <c r="O59" i="1" l="1"/>
  <c r="O46" i="1"/>
  <c r="O23" i="2" l="1"/>
  <c r="O8" i="2"/>
  <c r="O12" i="2" l="1"/>
  <c r="O37" i="2" l="1"/>
  <c r="O44" i="2" s="1"/>
  <c r="O23" i="1"/>
  <c r="O50" i="2" l="1"/>
  <c r="N13" i="1" l="1"/>
  <c r="N46" i="1" l="1"/>
  <c r="N29" i="1"/>
  <c r="N8" i="2" l="1"/>
  <c r="O23" i="3" l="1"/>
  <c r="M46" i="1" l="1"/>
  <c r="N23" i="2" l="1"/>
  <c r="N12" i="2"/>
  <c r="O47" i="3"/>
  <c r="O37" i="3"/>
  <c r="O31" i="3"/>
  <c r="O12" i="3"/>
  <c r="N41" i="1"/>
  <c r="N59" i="1"/>
  <c r="N23" i="1"/>
  <c r="N18" i="1"/>
  <c r="N37" i="2" l="1"/>
  <c r="N40" i="1"/>
  <c r="N64" i="1" s="1"/>
  <c r="O48" i="3"/>
  <c r="O24" i="3"/>
  <c r="O50" i="3" l="1"/>
  <c r="N44" i="2"/>
  <c r="N58" i="1"/>
  <c r="M41" i="1"/>
  <c r="L41" i="1"/>
  <c r="K41" i="1"/>
  <c r="J41" i="1"/>
  <c r="I41" i="1"/>
  <c r="H41" i="1"/>
  <c r="G41" i="1"/>
  <c r="F41" i="1"/>
  <c r="E41" i="1"/>
  <c r="D41" i="1"/>
  <c r="C41" i="1"/>
  <c r="N62" i="1" l="1"/>
  <c r="N50" i="2"/>
  <c r="N65" i="1"/>
  <c r="M18" i="1"/>
  <c r="M23" i="2" l="1"/>
  <c r="M8" i="2"/>
  <c r="M12" i="2" s="1"/>
  <c r="N31" i="3"/>
  <c r="N12" i="3"/>
  <c r="N23" i="3"/>
  <c r="N37" i="3"/>
  <c r="N47" i="3"/>
  <c r="M13" i="1"/>
  <c r="M29" i="1"/>
  <c r="M37" i="2" l="1"/>
  <c r="M44" i="2" s="1"/>
  <c r="M50" i="2" s="1"/>
  <c r="N48" i="3"/>
  <c r="N50" i="3" s="1"/>
  <c r="N24" i="3"/>
  <c r="M12" i="3" l="1"/>
  <c r="J13" i="1" l="1"/>
  <c r="K29" i="1" l="1"/>
  <c r="L18" i="1" l="1"/>
  <c r="M47" i="3" l="1"/>
  <c r="M37" i="3"/>
  <c r="M31" i="3"/>
  <c r="M23" i="3"/>
  <c r="L23" i="2"/>
  <c r="L8" i="2"/>
  <c r="L12" i="2" s="1"/>
  <c r="M59" i="1"/>
  <c r="L59" i="1"/>
  <c r="L46" i="1"/>
  <c r="L29" i="1"/>
  <c r="M23" i="1"/>
  <c r="L23" i="1"/>
  <c r="K18" i="1"/>
  <c r="L13" i="1"/>
  <c r="M40" i="1" l="1"/>
  <c r="M58" i="1" s="1"/>
  <c r="L37" i="2"/>
  <c r="L44" i="2" s="1"/>
  <c r="L50" i="2" s="1"/>
  <c r="L40" i="1"/>
  <c r="M48" i="3"/>
  <c r="M50" i="3" s="1"/>
  <c r="M24" i="3"/>
  <c r="M64" i="1" l="1"/>
  <c r="M65" i="1" s="1"/>
  <c r="L64" i="1"/>
  <c r="M62" i="1"/>
  <c r="L58" i="1"/>
  <c r="L62" i="1" s="1"/>
  <c r="L65" i="1" l="1"/>
  <c r="D23" i="2"/>
  <c r="E23" i="2"/>
  <c r="F23" i="2"/>
  <c r="G23" i="2"/>
  <c r="H23" i="2"/>
  <c r="J23" i="2"/>
  <c r="K23" i="2"/>
  <c r="C23" i="2"/>
  <c r="D23" i="1" l="1"/>
  <c r="E23" i="1"/>
  <c r="F23" i="1"/>
  <c r="G23" i="1"/>
  <c r="H23" i="1"/>
  <c r="I23" i="1"/>
  <c r="J23" i="1"/>
  <c r="K23" i="1"/>
  <c r="D29" i="1"/>
  <c r="D8" i="2" l="1"/>
  <c r="E8" i="2"/>
  <c r="F8" i="2"/>
  <c r="G8" i="2"/>
  <c r="H8" i="2"/>
  <c r="I8" i="2"/>
  <c r="J8" i="2"/>
  <c r="K8" i="2"/>
  <c r="C8" i="2"/>
  <c r="D23" i="3"/>
  <c r="I23" i="3"/>
  <c r="J23" i="3"/>
  <c r="K23" i="3"/>
  <c r="L23" i="3"/>
  <c r="H23" i="3"/>
  <c r="L47" i="3" l="1"/>
  <c r="L37" i="3"/>
  <c r="L31" i="3"/>
  <c r="L12" i="3"/>
  <c r="K12" i="2"/>
  <c r="K59" i="1"/>
  <c r="K46" i="1"/>
  <c r="K13" i="1"/>
  <c r="J18" i="1"/>
  <c r="J29" i="1"/>
  <c r="J46" i="1"/>
  <c r="J59" i="1"/>
  <c r="L24" i="3" l="1"/>
  <c r="L48" i="3"/>
  <c r="K40" i="1"/>
  <c r="K64" i="1" s="1"/>
  <c r="J40" i="1"/>
  <c r="K37" i="2"/>
  <c r="K44" i="2" s="1"/>
  <c r="K50" i="2" s="1"/>
  <c r="J64" i="1" l="1"/>
  <c r="L50" i="3"/>
  <c r="K65" i="1"/>
  <c r="K58" i="1"/>
  <c r="J58" i="1"/>
  <c r="J62" i="1" s="1"/>
  <c r="J65" i="1" l="1"/>
  <c r="K62" i="1"/>
  <c r="I15" i="2"/>
  <c r="I23" i="2" s="1"/>
  <c r="J12" i="2" l="1"/>
  <c r="J37" i="2" s="1"/>
  <c r="J44" i="2" s="1"/>
  <c r="J50" i="2" s="1"/>
  <c r="K47" i="3" l="1"/>
  <c r="K37" i="3"/>
  <c r="K31" i="3"/>
  <c r="K12" i="3"/>
  <c r="K48" i="3" l="1"/>
  <c r="K50" i="3" s="1"/>
  <c r="K24" i="3"/>
  <c r="D47" i="3" l="1"/>
  <c r="I13" i="1" l="1"/>
  <c r="I12" i="2" l="1"/>
  <c r="H12" i="2"/>
  <c r="G12" i="2"/>
  <c r="F12" i="2"/>
  <c r="E12" i="2"/>
  <c r="D12" i="2"/>
  <c r="C12" i="2"/>
  <c r="J47" i="3"/>
  <c r="I47" i="3"/>
  <c r="H47" i="3"/>
  <c r="G47" i="3"/>
  <c r="F47" i="3"/>
  <c r="E47" i="3"/>
  <c r="J37" i="3"/>
  <c r="I37" i="3"/>
  <c r="H37" i="3"/>
  <c r="G37" i="3"/>
  <c r="F37" i="3"/>
  <c r="E37" i="3"/>
  <c r="D37" i="3"/>
  <c r="D48" i="3" s="1"/>
  <c r="J31" i="3"/>
  <c r="I31" i="3"/>
  <c r="H31" i="3"/>
  <c r="G31" i="3"/>
  <c r="F31" i="3"/>
  <c r="E31" i="3"/>
  <c r="D31" i="3"/>
  <c r="G23" i="3"/>
  <c r="F23" i="3"/>
  <c r="E23" i="3"/>
  <c r="J12" i="3"/>
  <c r="I12" i="3"/>
  <c r="H12" i="3"/>
  <c r="G12" i="3"/>
  <c r="F12" i="3"/>
  <c r="E12" i="3"/>
  <c r="D12" i="3"/>
  <c r="F48" i="3" l="1"/>
  <c r="F50" i="3" s="1"/>
  <c r="F24" i="3"/>
  <c r="E48" i="3"/>
  <c r="E50" i="3" s="1"/>
  <c r="D50" i="3"/>
  <c r="J24" i="3"/>
  <c r="I48" i="3"/>
  <c r="I50" i="3" s="1"/>
  <c r="G24" i="3"/>
  <c r="J48" i="3"/>
  <c r="J50" i="3" s="1"/>
  <c r="I24" i="3"/>
  <c r="C37" i="2"/>
  <c r="C44" i="2" s="1"/>
  <c r="C50" i="2" s="1"/>
  <c r="G48" i="3"/>
  <c r="G50" i="3" s="1"/>
  <c r="H24" i="3"/>
  <c r="D24" i="3"/>
  <c r="E24" i="3"/>
  <c r="H48" i="3"/>
  <c r="H50" i="3" s="1"/>
  <c r="E37" i="2"/>
  <c r="E44" i="2" s="1"/>
  <c r="E50" i="2" s="1"/>
  <c r="H37" i="2"/>
  <c r="H44" i="2" s="1"/>
  <c r="H50" i="2" s="1"/>
  <c r="G37" i="2"/>
  <c r="G44" i="2" s="1"/>
  <c r="G50" i="2" s="1"/>
  <c r="D37" i="2"/>
  <c r="D44" i="2" s="1"/>
  <c r="D50" i="2" s="1"/>
  <c r="F37" i="2"/>
  <c r="F44" i="2" s="1"/>
  <c r="F50" i="2" s="1"/>
  <c r="I59" i="1"/>
  <c r="H59" i="1"/>
  <c r="G59" i="1"/>
  <c r="F59" i="1"/>
  <c r="E59" i="1"/>
  <c r="D59" i="1"/>
  <c r="C59" i="1"/>
  <c r="I46" i="1"/>
  <c r="H46" i="1"/>
  <c r="G46" i="1"/>
  <c r="F46" i="1"/>
  <c r="E46" i="1"/>
  <c r="D46" i="1"/>
  <c r="C46" i="1"/>
  <c r="I29" i="1"/>
  <c r="H29" i="1"/>
  <c r="G29" i="1"/>
  <c r="F29" i="1"/>
  <c r="E29" i="1"/>
  <c r="C29" i="1"/>
  <c r="H18" i="1"/>
  <c r="G18" i="1"/>
  <c r="F18" i="1"/>
  <c r="E18" i="1"/>
  <c r="H13" i="1"/>
  <c r="G13" i="1"/>
  <c r="F13" i="1"/>
  <c r="E13" i="1"/>
  <c r="D13" i="1"/>
  <c r="C13" i="1"/>
  <c r="F40" i="1" l="1"/>
  <c r="F64" i="1" s="1"/>
  <c r="G40" i="1"/>
  <c r="G64" i="1" s="1"/>
  <c r="D40" i="1"/>
  <c r="C40" i="1"/>
  <c r="H40" i="1"/>
  <c r="E40" i="1"/>
  <c r="I37" i="2"/>
  <c r="I44" i="2" s="1"/>
  <c r="I50" i="2" s="1"/>
  <c r="H64" i="1" l="1"/>
  <c r="H65" i="1" s="1"/>
  <c r="C64" i="1"/>
  <c r="C65" i="1" s="1"/>
  <c r="D64" i="1"/>
  <c r="E64" i="1"/>
  <c r="G65" i="1"/>
  <c r="F65" i="1"/>
  <c r="D58" i="1"/>
  <c r="D62" i="1" s="1"/>
  <c r="H58" i="1"/>
  <c r="H62" i="1" s="1"/>
  <c r="E58" i="1"/>
  <c r="E62" i="1" s="1"/>
  <c r="C58" i="1"/>
  <c r="C62" i="1" s="1"/>
  <c r="F58" i="1"/>
  <c r="F62" i="1" s="1"/>
  <c r="G58" i="1"/>
  <c r="G62" i="1" s="1"/>
  <c r="D65" i="1" l="1"/>
  <c r="E65" i="1"/>
  <c r="D63" i="1"/>
  <c r="E63" i="1"/>
  <c r="G63" i="1"/>
  <c r="F63" i="1"/>
  <c r="H63" i="1"/>
  <c r="I18" i="1" l="1"/>
  <c r="I40" i="1" s="1"/>
  <c r="I64" i="1" l="1"/>
  <c r="I58" i="1"/>
  <c r="I65" i="1" l="1"/>
  <c r="I63" i="1"/>
  <c r="I62" i="1"/>
  <c r="O13" i="1" l="1"/>
  <c r="O40" i="1" s="1"/>
  <c r="O64" i="1" l="1"/>
  <c r="O58" i="1"/>
  <c r="O65" i="1" l="1"/>
  <c r="O62" i="1"/>
  <c r="P13" i="1" l="1"/>
  <c r="P40" i="1" l="1"/>
  <c r="P64" i="1" s="1"/>
  <c r="P58" i="1" l="1"/>
  <c r="P62" i="1" s="1"/>
  <c r="P65" i="1"/>
</calcChain>
</file>

<file path=xl/sharedStrings.xml><?xml version="1.0" encoding="utf-8"?>
<sst xmlns="http://schemas.openxmlformats.org/spreadsheetml/2006/main" count="169" uniqueCount="144">
  <si>
    <t>Freight handling</t>
  </si>
  <si>
    <t>Continuing operations</t>
  </si>
  <si>
    <t>Other</t>
  </si>
  <si>
    <t>Depreciation and amortization expenses</t>
  </si>
  <si>
    <t>Electricity</t>
  </si>
  <si>
    <t>Materials</t>
  </si>
  <si>
    <t>Fuel</t>
  </si>
  <si>
    <t>Other Expenses</t>
  </si>
  <si>
    <t>Write off of PPE</t>
  </si>
  <si>
    <t>Write off of CIP</t>
  </si>
  <si>
    <t>Security and other operating expenses</t>
  </si>
  <si>
    <t>Freight car rental</t>
  </si>
  <si>
    <t>Inventory write-off</t>
  </si>
  <si>
    <t>Other provisions</t>
  </si>
  <si>
    <t xml:space="preserve">Impairment loss on trade receivables </t>
  </si>
  <si>
    <t>Loss on bond repayment</t>
  </si>
  <si>
    <t>Interest expense</t>
  </si>
  <si>
    <t>Prepaid finance costs written off</t>
  </si>
  <si>
    <t>Effective icome tax rate</t>
  </si>
  <si>
    <t>Adjusted EBITDA</t>
  </si>
  <si>
    <t>Historical Cash Flows (Direct Method)</t>
  </si>
  <si>
    <t>Cash receipts from customers</t>
  </si>
  <si>
    <t>Cash paid to suppliers and employees</t>
  </si>
  <si>
    <t>VAT tax refund from the State</t>
  </si>
  <si>
    <t>Income tax paid</t>
  </si>
  <si>
    <t>Interest paid</t>
  </si>
  <si>
    <t>Interest received</t>
  </si>
  <si>
    <t>Decrease(Increase) in restricted cash</t>
  </si>
  <si>
    <t>Dividends received</t>
  </si>
  <si>
    <t>Acquisition of property, plant and equipment</t>
  </si>
  <si>
    <t>Net cash used in investing activities</t>
  </si>
  <si>
    <t>Decrease/(Increase) in restricted cash</t>
  </si>
  <si>
    <t>Dividends paid</t>
  </si>
  <si>
    <t>Proceeds from borrowings</t>
  </si>
  <si>
    <t>Repayment of borrowings</t>
  </si>
  <si>
    <t>Cash contribution by owner</t>
  </si>
  <si>
    <t>Cash distribution to the owner</t>
  </si>
  <si>
    <t>NET CHANGE IN CASH AND CASH EQUIVALENTS</t>
  </si>
  <si>
    <t>Cash and cash equivalents at the beginning of period</t>
  </si>
  <si>
    <t>Effects of exchange rate changes on the balance of cash held in foreign currencies</t>
  </si>
  <si>
    <t>Cash and cash equivalents at the end of the period</t>
  </si>
  <si>
    <t>Balance in Restricted cash</t>
  </si>
  <si>
    <t>Balance in Bank deposits</t>
  </si>
  <si>
    <t>Cash and cash equivalents including restricted cash and bank deposits</t>
  </si>
  <si>
    <t>ASSETS</t>
  </si>
  <si>
    <t>Non-current assets</t>
  </si>
  <si>
    <t>Property, plant and equipment</t>
  </si>
  <si>
    <t>Investment property</t>
  </si>
  <si>
    <t>Other non-current assets</t>
  </si>
  <si>
    <t>Total Non-current assets</t>
  </si>
  <si>
    <t>Current assets</t>
  </si>
  <si>
    <t xml:space="preserve">Inventories </t>
  </si>
  <si>
    <t>Current tax assets</t>
  </si>
  <si>
    <t>Trade and other receivables</t>
  </si>
  <si>
    <t>Prepayments and other current assets</t>
  </si>
  <si>
    <t>Cash and cash equivalents</t>
  </si>
  <si>
    <t>Bank Deposits</t>
  </si>
  <si>
    <t>Restricted cash</t>
  </si>
  <si>
    <t>Total current assets</t>
  </si>
  <si>
    <t>TOTAL ASSETS</t>
  </si>
  <si>
    <t>EQUITY AND LIABILITIES</t>
  </si>
  <si>
    <t>Equity</t>
  </si>
  <si>
    <t>Charter capital</t>
  </si>
  <si>
    <t>Non-cash owner contribution reserve</t>
  </si>
  <si>
    <t>Retained earnings</t>
  </si>
  <si>
    <t>Total equity</t>
  </si>
  <si>
    <t>Non-current liabilities</t>
  </si>
  <si>
    <t>Loans and borrowings</t>
  </si>
  <si>
    <t>Trade and other payables</t>
  </si>
  <si>
    <t>Deferred tax Liability</t>
  </si>
  <si>
    <t>Total non-current liabilities</t>
  </si>
  <si>
    <t>Current liabilities</t>
  </si>
  <si>
    <t>Liabilities to the Government</t>
  </si>
  <si>
    <t>Provisions</t>
  </si>
  <si>
    <t>Other Taxes Payable</t>
  </si>
  <si>
    <t>Other current liabilities</t>
  </si>
  <si>
    <t>Current tax liabilities</t>
  </si>
  <si>
    <t>Total current liabilities</t>
  </si>
  <si>
    <t>Total liabilities</t>
  </si>
  <si>
    <t>TOTAL EQUITY AND LIABILITIES</t>
  </si>
  <si>
    <t>Historical P&amp;L</t>
  </si>
  <si>
    <t>Historical Balance Sheet</t>
  </si>
  <si>
    <t xml:space="preserve">Trade and other payables </t>
  </si>
  <si>
    <t>Cash flows from operating activities</t>
  </si>
  <si>
    <t>Net cash from operating activities</t>
  </si>
  <si>
    <t>Cash flows from operations before income taxes and interest paid</t>
  </si>
  <si>
    <t>Proceeds from sale of property, pland and equipment</t>
  </si>
  <si>
    <t>Decrease(Increase) in term deposits</t>
  </si>
  <si>
    <t>Cash flows from financing activities</t>
  </si>
  <si>
    <t>Net cash (used in)/from financing activities</t>
  </si>
  <si>
    <t>Revenue</t>
  </si>
  <si>
    <t xml:space="preserve">Other Income </t>
  </si>
  <si>
    <t>Employee benefits expense</t>
  </si>
  <si>
    <t>Profit before income tax</t>
  </si>
  <si>
    <t>Income tax expense</t>
  </si>
  <si>
    <t>Profit and total compregensive income for the year</t>
  </si>
  <si>
    <t>Taxes other than income tax</t>
  </si>
  <si>
    <t>Net foreign exchange gain</t>
  </si>
  <si>
    <t>Net foreign exchange loss</t>
  </si>
  <si>
    <t>Operating activities</t>
  </si>
  <si>
    <t xml:space="preserve">Other </t>
  </si>
  <si>
    <t>’000 GEL</t>
  </si>
  <si>
    <t>Deferred tax Assets</t>
  </si>
  <si>
    <t>Goodwill</t>
  </si>
  <si>
    <t>Dividends payable</t>
  </si>
  <si>
    <t>Cash flows from investing activities</t>
  </si>
  <si>
    <t>Logistic service</t>
  </si>
  <si>
    <t>Electricity, inventory and repair work</t>
  </si>
  <si>
    <t>NA</t>
  </si>
  <si>
    <t>Loans receivable</t>
  </si>
  <si>
    <t>Issuance of the loan</t>
  </si>
  <si>
    <t>Refund of the loan</t>
  </si>
  <si>
    <t>Freight transportation</t>
  </si>
  <si>
    <t>Passenger traffic</t>
  </si>
  <si>
    <t>Rent, scrap realization,other</t>
  </si>
  <si>
    <t>Telecom revenue</t>
  </si>
  <si>
    <t>Gain on sale of subsidiary</t>
  </si>
  <si>
    <t>Repair and maintenance</t>
  </si>
  <si>
    <t>Internet and cable lease (Telecom)</t>
  </si>
  <si>
    <t>Borrowing costs</t>
  </si>
  <si>
    <t>Finance income</t>
  </si>
  <si>
    <t>Finance cost</t>
  </si>
  <si>
    <t xml:space="preserve">Interest income </t>
  </si>
  <si>
    <t>Current year</t>
  </si>
  <si>
    <t>Deferred tax</t>
  </si>
  <si>
    <t>Adjusted EBITDA margin</t>
  </si>
  <si>
    <t>Income from the transferred property</t>
  </si>
  <si>
    <t>Impairment loss on property, plant and equipment</t>
  </si>
  <si>
    <t>Impairment loss on issued loans</t>
  </si>
  <si>
    <t>Cash and cash equivalents provision</t>
  </si>
  <si>
    <t>Impairment gain on cash in bank</t>
  </si>
  <si>
    <t>Rent of wagons and other rental income</t>
  </si>
  <si>
    <t>Freight car cross-border charge</t>
  </si>
  <si>
    <t>Gain on modification of financial instruments</t>
  </si>
  <si>
    <t>Premium on early redemption of issued bonds</t>
  </si>
  <si>
    <t>Term deposit</t>
  </si>
  <si>
    <t>Advance received from the Government</t>
  </si>
  <si>
    <t>Loan refinancing fees paid</t>
  </si>
  <si>
    <t>Unwinding of discount on provisions</t>
  </si>
  <si>
    <t xml:space="preserve">Loss on modification of financial instruments </t>
  </si>
  <si>
    <t>Impairment loss on cash in bank</t>
  </si>
  <si>
    <t>6M 2021</t>
  </si>
  <si>
    <t>6M 2022</t>
  </si>
  <si>
    <t xml:space="preserve">Impairment gain/(loss) on trade receivables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</si>
</sst>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[$€]\ * #,##0.00_-;\-[$€]\ * #,##0.00_-;_-[$€]\ 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_(#,##0.0000_);_(\(#,##0.0000\);_(\ \-\ 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2" fillId="0" borderId="0"/>
    <xf numFmtId="0" fontId="3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/>
    <xf numFmtId="43" fontId="7" fillId="0" borderId="0" xfId="1" applyNumberFormat="1" applyFont="1" applyAlignment="1">
      <alignment vertical="top"/>
    </xf>
    <xf numFmtId="164" fontId="7" fillId="0" borderId="0" xfId="1" applyFont="1" applyAlignment="1">
      <alignment horizontal="left" vertical="top" indent="2"/>
    </xf>
    <xf numFmtId="164" fontId="7" fillId="0" borderId="0" xfId="1" applyFont="1" applyFill="1" applyAlignment="1">
      <alignment horizontal="left" vertical="top" indent="2"/>
    </xf>
    <xf numFmtId="164" fontId="10" fillId="0" borderId="0" xfId="1" applyFont="1" applyFill="1" applyAlignment="1">
      <alignment vertical="top"/>
    </xf>
    <xf numFmtId="0" fontId="9" fillId="0" borderId="0" xfId="0" applyFont="1"/>
    <xf numFmtId="0" fontId="13" fillId="0" borderId="0" xfId="0" applyFont="1"/>
    <xf numFmtId="164" fontId="10" fillId="0" borderId="1" xfId="1" applyFont="1" applyFill="1" applyBorder="1" applyAlignment="1">
      <alignment vertical="top"/>
    </xf>
    <xf numFmtId="164" fontId="7" fillId="0" borderId="2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3" fontId="13" fillId="0" borderId="0" xfId="4" applyNumberFormat="1" applyFont="1" applyFill="1" applyAlignment="1">
      <alignment horizontal="right"/>
    </xf>
    <xf numFmtId="164" fontId="9" fillId="0" borderId="0" xfId="5" applyFont="1" applyFill="1"/>
    <xf numFmtId="164" fontId="6" fillId="0" borderId="0" xfId="5" applyFont="1" applyFill="1"/>
    <xf numFmtId="3" fontId="9" fillId="0" borderId="0" xfId="5" applyNumberFormat="1" applyFont="1" applyFill="1"/>
    <xf numFmtId="165" fontId="9" fillId="0" borderId="0" xfId="3" applyNumberFormat="1" applyFont="1" applyFill="1" applyBorder="1"/>
    <xf numFmtId="165" fontId="9" fillId="0" borderId="2" xfId="3" applyNumberFormat="1" applyFont="1" applyFill="1" applyBorder="1"/>
    <xf numFmtId="0" fontId="11" fillId="0" borderId="0" xfId="0" applyFont="1" applyFill="1" applyAlignment="1">
      <alignment horizontal="left" indent="1"/>
    </xf>
    <xf numFmtId="165" fontId="6" fillId="0" borderId="0" xfId="3" applyNumberFormat="1" applyFont="1" applyFill="1" applyBorder="1"/>
    <xf numFmtId="0" fontId="5" fillId="0" borderId="0" xfId="0" applyFont="1" applyFill="1"/>
    <xf numFmtId="0" fontId="11" fillId="0" borderId="0" xfId="0" applyFont="1" applyFill="1"/>
    <xf numFmtId="165" fontId="6" fillId="0" borderId="3" xfId="3" applyNumberFormat="1" applyFont="1" applyFill="1" applyBorder="1"/>
    <xf numFmtId="165" fontId="9" fillId="0" borderId="0" xfId="3" applyNumberFormat="1" applyFont="1" applyFill="1"/>
    <xf numFmtId="164" fontId="9" fillId="0" borderId="0" xfId="5" applyFont="1" applyFill="1" applyAlignment="1">
      <alignment vertical="center"/>
    </xf>
    <xf numFmtId="164" fontId="6" fillId="0" borderId="0" xfId="5" applyFont="1" applyFill="1" applyAlignment="1">
      <alignment horizontal="left" indent="1"/>
    </xf>
    <xf numFmtId="165" fontId="6" fillId="0" borderId="0" xfId="3" applyNumberFormat="1" applyFont="1" applyFill="1"/>
    <xf numFmtId="0" fontId="5" fillId="0" borderId="4" xfId="0" applyFont="1" applyBorder="1"/>
    <xf numFmtId="0" fontId="5" fillId="0" borderId="4" xfId="0" applyFont="1" applyFill="1" applyBorder="1"/>
    <xf numFmtId="164" fontId="9" fillId="0" borderId="0" xfId="5" applyFont="1" applyFill="1" applyAlignment="1">
      <alignment wrapText="1"/>
    </xf>
    <xf numFmtId="165" fontId="9" fillId="0" borderId="0" xfId="3" applyNumberFormat="1" applyFont="1" applyFill="1" applyAlignment="1">
      <alignment wrapText="1"/>
    </xf>
    <xf numFmtId="165" fontId="6" fillId="0" borderId="5" xfId="3" applyNumberFormat="1" applyFont="1" applyFill="1" applyBorder="1"/>
    <xf numFmtId="37" fontId="9" fillId="0" borderId="0" xfId="0" applyNumberFormat="1" applyFont="1"/>
    <xf numFmtId="2" fontId="5" fillId="0" borderId="0" xfId="0" applyNumberFormat="1" applyFont="1"/>
    <xf numFmtId="165" fontId="14" fillId="0" borderId="0" xfId="3" applyNumberFormat="1" applyFont="1" applyFill="1" applyBorder="1" applyAlignment="1">
      <alignment horizontal="right"/>
    </xf>
    <xf numFmtId="165" fontId="9" fillId="0" borderId="0" xfId="0" applyNumberFormat="1" applyFont="1" applyBorder="1"/>
    <xf numFmtId="0" fontId="6" fillId="0" borderId="0" xfId="0" applyFont="1"/>
    <xf numFmtId="37" fontId="9" fillId="0" borderId="2" xfId="0" applyNumberFormat="1" applyFont="1" applyBorder="1"/>
    <xf numFmtId="165" fontId="9" fillId="0" borderId="2" xfId="0" applyNumberFormat="1" applyFont="1" applyBorder="1"/>
    <xf numFmtId="165" fontId="5" fillId="0" borderId="0" xfId="0" applyNumberFormat="1" applyFont="1"/>
    <xf numFmtId="0" fontId="9" fillId="0" borderId="3" xfId="0" applyFont="1" applyBorder="1"/>
    <xf numFmtId="165" fontId="9" fillId="0" borderId="3" xfId="0" applyNumberFormat="1" applyFont="1" applyBorder="1"/>
    <xf numFmtId="165" fontId="9" fillId="0" borderId="3" xfId="0" applyNumberFormat="1" applyFont="1" applyFill="1" applyBorder="1"/>
    <xf numFmtId="37" fontId="5" fillId="0" borderId="0" xfId="0" applyNumberFormat="1" applyFont="1"/>
    <xf numFmtId="165" fontId="6" fillId="0" borderId="0" xfId="0" applyNumberFormat="1" applyFont="1" applyBorder="1"/>
    <xf numFmtId="165" fontId="9" fillId="0" borderId="0" xfId="0" applyNumberFormat="1" applyFont="1" applyFill="1" applyBorder="1"/>
    <xf numFmtId="164" fontId="6" fillId="0" borderId="0" xfId="2" applyFont="1" applyFill="1"/>
    <xf numFmtId="164" fontId="9" fillId="0" borderId="0" xfId="2" applyFont="1" applyFill="1"/>
    <xf numFmtId="37" fontId="9" fillId="0" borderId="0" xfId="2" applyNumberFormat="1" applyFont="1" applyFill="1"/>
    <xf numFmtId="164" fontId="9" fillId="0" borderId="0" xfId="2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0" borderId="0" xfId="3" applyNumberFormat="1" applyFont="1" applyFill="1"/>
    <xf numFmtId="164" fontId="6" fillId="0" borderId="1" xfId="2" applyFont="1" applyFill="1" applyBorder="1"/>
    <xf numFmtId="164" fontId="9" fillId="0" borderId="1" xfId="2" applyFont="1" applyFill="1" applyBorder="1"/>
    <xf numFmtId="165" fontId="11" fillId="0" borderId="2" xfId="3" applyNumberFormat="1" applyFont="1" applyFill="1" applyBorder="1"/>
    <xf numFmtId="165" fontId="5" fillId="0" borderId="0" xfId="3" applyNumberFormat="1" applyFont="1"/>
    <xf numFmtId="165" fontId="9" fillId="0" borderId="0" xfId="3" applyNumberFormat="1" applyFont="1"/>
    <xf numFmtId="165" fontId="11" fillId="0" borderId="1" xfId="3" applyNumberFormat="1" applyFont="1" applyFill="1" applyBorder="1"/>
    <xf numFmtId="164" fontId="6" fillId="0" borderId="6" xfId="2" applyFont="1" applyFill="1" applyBorder="1"/>
    <xf numFmtId="164" fontId="9" fillId="0" borderId="6" xfId="2" applyFont="1" applyFill="1" applyBorder="1"/>
    <xf numFmtId="165" fontId="11" fillId="0" borderId="6" xfId="3" applyNumberFormat="1" applyFont="1" applyFill="1" applyBorder="1"/>
    <xf numFmtId="165" fontId="9" fillId="0" borderId="0" xfId="3" applyNumberFormat="1" applyFont="1" applyFill="1" applyAlignment="1">
      <alignment vertical="top"/>
    </xf>
    <xf numFmtId="165" fontId="5" fillId="0" borderId="1" xfId="3" applyNumberFormat="1" applyFont="1" applyFill="1" applyBorder="1"/>
    <xf numFmtId="165" fontId="9" fillId="0" borderId="0" xfId="3" applyNumberFormat="1" applyFont="1" applyFill="1" applyAlignment="1">
      <alignment vertical="center"/>
    </xf>
    <xf numFmtId="167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 vertical="center" wrapText="1"/>
    </xf>
    <xf numFmtId="167" fontId="11" fillId="0" borderId="0" xfId="3" applyNumberFormat="1" applyFont="1" applyFill="1" applyAlignment="1">
      <alignment horizontal="right"/>
    </xf>
    <xf numFmtId="167" fontId="11" fillId="0" borderId="0" xfId="3" applyNumberFormat="1" applyFont="1" applyFill="1" applyAlignment="1">
      <alignment horizontal="right" vertical="center"/>
    </xf>
    <xf numFmtId="167" fontId="11" fillId="0" borderId="0" xfId="8" applyNumberFormat="1" applyFont="1" applyFill="1" applyAlignment="1">
      <alignment horizontal="right"/>
    </xf>
    <xf numFmtId="167" fontId="5" fillId="0" borderId="0" xfId="3" applyNumberFormat="1" applyFont="1" applyFill="1" applyAlignment="1">
      <alignment horizontal="right" vertical="center"/>
    </xf>
    <xf numFmtId="167" fontId="11" fillId="0" borderId="0" xfId="3" applyNumberFormat="1" applyFont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5" fontId="5" fillId="0" borderId="0" xfId="3" applyNumberFormat="1" applyFont="1" applyFill="1" applyBorder="1"/>
    <xf numFmtId="165" fontId="5" fillId="0" borderId="0" xfId="0" applyNumberFormat="1" applyFont="1" applyFill="1"/>
    <xf numFmtId="164" fontId="7" fillId="0" borderId="0" xfId="1" applyFont="1" applyFill="1" applyBorder="1" applyAlignment="1">
      <alignment vertical="top"/>
    </xf>
    <xf numFmtId="43" fontId="7" fillId="0" borderId="0" xfId="1" applyNumberFormat="1" applyFont="1" applyAlignment="1">
      <alignment horizontal="center" vertical="center"/>
    </xf>
    <xf numFmtId="164" fontId="6" fillId="0" borderId="0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5" fillId="0" borderId="0" xfId="1" applyFont="1" applyAlignment="1">
      <alignment horizontal="right" vertical="top" indent="2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 vertical="center" wrapText="1"/>
    </xf>
    <xf numFmtId="167" fontId="11" fillId="0" borderId="0" xfId="3" applyNumberFormat="1" applyFont="1" applyFill="1" applyAlignment="1">
      <alignment horizontal="center" vertical="center"/>
    </xf>
    <xf numFmtId="167" fontId="11" fillId="0" borderId="0" xfId="8" applyNumberFormat="1" applyFont="1" applyFill="1" applyAlignment="1">
      <alignment horizontal="center" vertical="center"/>
    </xf>
    <xf numFmtId="167" fontId="5" fillId="0" borderId="0" xfId="3" applyNumberFormat="1" applyFont="1" applyFill="1" applyAlignment="1">
      <alignment horizontal="center"/>
    </xf>
    <xf numFmtId="167" fontId="5" fillId="0" borderId="0" xfId="3" applyNumberFormat="1" applyFont="1" applyFill="1" applyAlignment="1">
      <alignment horizontal="center" vertical="center"/>
    </xf>
    <xf numFmtId="167" fontId="11" fillId="0" borderId="0" xfId="3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7" fontId="16" fillId="0" borderId="0" xfId="4" applyNumberFormat="1" applyFont="1" applyFill="1" applyAlignment="1">
      <alignment horizontal="center" vertical="center"/>
    </xf>
    <xf numFmtId="167" fontId="16" fillId="0" borderId="0" xfId="3" applyNumberFormat="1" applyFont="1" applyFill="1" applyAlignment="1">
      <alignment horizontal="center" vertical="center"/>
    </xf>
    <xf numFmtId="167" fontId="16" fillId="0" borderId="0" xfId="0" applyNumberFormat="1" applyFont="1" applyFill="1" applyAlignment="1">
      <alignment horizontal="center"/>
    </xf>
    <xf numFmtId="167" fontId="11" fillId="0" borderId="1" xfId="3" applyNumberFormat="1" applyFont="1" applyFill="1" applyBorder="1" applyAlignment="1">
      <alignment horizontal="center"/>
    </xf>
    <xf numFmtId="10" fontId="5" fillId="0" borderId="2" xfId="4" applyNumberFormat="1" applyFont="1" applyFill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167" fontId="5" fillId="0" borderId="0" xfId="3" applyNumberFormat="1" applyFont="1" applyAlignment="1">
      <alignment horizontal="center"/>
    </xf>
    <xf numFmtId="167" fontId="8" fillId="0" borderId="0" xfId="0" applyNumberFormat="1" applyFont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5" fillId="0" borderId="0" xfId="3" applyNumberFormat="1" applyFont="1" applyFill="1" applyBorder="1" applyAlignment="1">
      <alignment horizontal="center"/>
    </xf>
    <xf numFmtId="167" fontId="11" fillId="0" borderId="0" xfId="8" applyNumberFormat="1" applyFont="1" applyFill="1" applyAlignment="1">
      <alignment horizontal="center"/>
    </xf>
    <xf numFmtId="167" fontId="9" fillId="0" borderId="0" xfId="3" applyNumberFormat="1" applyFont="1" applyFill="1" applyAlignment="1">
      <alignment horizontal="center" vertical="center"/>
    </xf>
    <xf numFmtId="167" fontId="9" fillId="0" borderId="0" xfId="3" applyNumberFormat="1" applyFont="1" applyFill="1" applyAlignment="1">
      <alignment horizontal="center"/>
    </xf>
    <xf numFmtId="167" fontId="11" fillId="0" borderId="0" xfId="3" applyNumberFormat="1" applyFont="1" applyAlignment="1">
      <alignment horizontal="center"/>
    </xf>
    <xf numFmtId="167" fontId="5" fillId="0" borderId="0" xfId="4" applyNumberFormat="1" applyFont="1" applyFill="1" applyAlignment="1">
      <alignment horizontal="center"/>
    </xf>
    <xf numFmtId="167" fontId="5" fillId="0" borderId="0" xfId="4" applyNumberFormat="1" applyFont="1" applyFill="1" applyAlignment="1">
      <alignment horizontal="center" vertical="center"/>
    </xf>
    <xf numFmtId="167" fontId="12" fillId="0" borderId="0" xfId="3" applyNumberFormat="1" applyFont="1" applyFill="1" applyAlignment="1">
      <alignment horizontal="center"/>
    </xf>
    <xf numFmtId="3" fontId="13" fillId="0" borderId="0" xfId="4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7" fillId="0" borderId="0" xfId="4" applyNumberFormat="1" applyFont="1" applyFill="1" applyAlignment="1">
      <alignment horizontal="center" vertical="center"/>
    </xf>
    <xf numFmtId="166" fontId="5" fillId="0" borderId="2" xfId="4" applyNumberFormat="1" applyFont="1" applyBorder="1" applyAlignment="1">
      <alignment horizontal="center"/>
    </xf>
    <xf numFmtId="166" fontId="5" fillId="0" borderId="2" xfId="4" applyNumberFormat="1" applyFont="1" applyFill="1" applyBorder="1" applyAlignment="1">
      <alignment horizontal="center"/>
    </xf>
    <xf numFmtId="166" fontId="5" fillId="0" borderId="0" xfId="4" applyNumberFormat="1" applyFont="1" applyBorder="1" applyAlignment="1">
      <alignment horizontal="center"/>
    </xf>
    <xf numFmtId="166" fontId="5" fillId="0" borderId="0" xfId="4" applyNumberFormat="1" applyFont="1" applyFill="1" applyBorder="1" applyAlignment="1">
      <alignment horizontal="center"/>
    </xf>
    <xf numFmtId="43" fontId="7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166" fontId="5" fillId="0" borderId="2" xfId="4" applyNumberFormat="1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4" fontId="6" fillId="0" borderId="4" xfId="2" applyFont="1" applyFill="1" applyBorder="1"/>
    <xf numFmtId="164" fontId="9" fillId="0" borderId="4" xfId="2" applyFont="1" applyFill="1" applyBorder="1"/>
    <xf numFmtId="165" fontId="11" fillId="0" borderId="4" xfId="3" applyNumberFormat="1" applyFont="1" applyFill="1" applyBorder="1"/>
    <xf numFmtId="168" fontId="5" fillId="0" borderId="0" xfId="0" applyNumberFormat="1" applyFont="1" applyFill="1" applyBorder="1"/>
    <xf numFmtId="165" fontId="5" fillId="0" borderId="0" xfId="0" applyNumberFormat="1" applyFont="1" applyFill="1" applyBorder="1"/>
    <xf numFmtId="9" fontId="5" fillId="0" borderId="0" xfId="11" applyFont="1" applyFill="1" applyBorder="1"/>
    <xf numFmtId="166" fontId="5" fillId="0" borderId="0" xfId="0" applyNumberFormat="1" applyFont="1" applyFill="1" applyBorder="1"/>
    <xf numFmtId="165" fontId="6" fillId="0" borderId="4" xfId="0" applyNumberFormat="1" applyFont="1" applyBorder="1"/>
    <xf numFmtId="165" fontId="6" fillId="0" borderId="4" xfId="0" applyNumberFormat="1" applyFont="1" applyFill="1" applyBorder="1"/>
    <xf numFmtId="169" fontId="5" fillId="0" borderId="0" xfId="0" applyNumberFormat="1" applyFont="1" applyFill="1" applyBorder="1"/>
    <xf numFmtId="9" fontId="5" fillId="0" borderId="0" xfId="0" applyNumberFormat="1" applyFont="1" applyFill="1" applyBorder="1"/>
    <xf numFmtId="167" fontId="5" fillId="0" borderId="0" xfId="0" applyNumberFormat="1" applyFont="1" applyFill="1" applyBorder="1"/>
    <xf numFmtId="165" fontId="9" fillId="0" borderId="0" xfId="3" applyNumberFormat="1" applyFont="1" applyAlignment="1">
      <alignment horizontal="center"/>
    </xf>
    <xf numFmtId="166" fontId="5" fillId="0" borderId="0" xfId="11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</cellXfs>
  <cellStyles count="12">
    <cellStyle name="Comma" xfId="8" builtinId="3"/>
    <cellStyle name="Comma 2 2 2" xfId="3" xr:uid="{00000000-0005-0000-0000-000001000000}"/>
    <cellStyle name="Normal" xfId="0" builtinId="0"/>
    <cellStyle name="Normal 10 6" xfId="6" xr:uid="{00000000-0005-0000-0000-000003000000}"/>
    <cellStyle name="Normal 2" xfId="7" xr:uid="{00000000-0005-0000-0000-000004000000}"/>
    <cellStyle name="Normal 3" xfId="9" xr:uid="{00000000-0005-0000-0000-000005000000}"/>
    <cellStyle name="Normal 4 2_bolo-fiansuri mogebis sagadasaxado mogebaze koreqtireba (2009)-koretirebebis gatvaliscinebit1111111111.2 version" xfId="10" xr:uid="{00000000-0005-0000-0000-000006000000}"/>
    <cellStyle name="Normal_A3.1, 4.1 FS, Trial Balance 31.12.04" xfId="2" xr:uid="{00000000-0005-0000-0000-000007000000}"/>
    <cellStyle name="Normal_CFLOW" xfId="5" xr:uid="{00000000-0005-0000-0000-000008000000}"/>
    <cellStyle name="Percent" xfId="11" builtinId="5"/>
    <cellStyle name="Percent [0%]" xfId="4" xr:uid="{00000000-0005-0000-0000-00000A000000}"/>
    <cellStyle name="Style 1" xfId="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gtvaradze\Desktop\fs_q1_2022..%20gior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CF"/>
    </sheetNames>
    <sheetDataSet>
      <sheetData sheetId="0">
        <row r="4">
          <cell r="B4" t="str">
            <v>Freight transportation</v>
          </cell>
          <cell r="C4">
            <v>248942.00000000003</v>
          </cell>
          <cell r="D4">
            <v>239512.64333999998</v>
          </cell>
          <cell r="E4">
            <v>238795.42206000001</v>
          </cell>
          <cell r="F4">
            <v>298013.68313000002</v>
          </cell>
          <cell r="G4">
            <v>348924.11386000004</v>
          </cell>
          <cell r="H4">
            <v>350866.02596999903</v>
          </cell>
          <cell r="I4">
            <v>364057</v>
          </cell>
          <cell r="J4">
            <v>382732</v>
          </cell>
          <cell r="K4">
            <v>392773.60125000001</v>
          </cell>
          <cell r="L4">
            <v>292612</v>
          </cell>
          <cell r="M4">
            <v>262771.5</v>
          </cell>
          <cell r="N4">
            <v>241313.41166973699</v>
          </cell>
          <cell r="O4">
            <v>308515.40000000002</v>
          </cell>
          <cell r="P4">
            <v>316452.44199999998</v>
          </cell>
          <cell r="Q4">
            <v>353929.25733924028</v>
          </cell>
          <cell r="R4">
            <v>84187.088571981003</v>
          </cell>
          <cell r="S4">
            <v>87152.812999999995</v>
          </cell>
          <cell r="T4">
            <v>2965.7244280189916</v>
          </cell>
        </row>
        <row r="5">
          <cell r="B5" t="str">
            <v>Freight handling</v>
          </cell>
          <cell r="C5">
            <v>41350</v>
          </cell>
          <cell r="D5">
            <v>55250.792659999992</v>
          </cell>
          <cell r="E5">
            <v>35354.167690000002</v>
          </cell>
          <cell r="F5">
            <v>56568.831049999979</v>
          </cell>
          <cell r="G5">
            <v>61990.886139999959</v>
          </cell>
          <cell r="H5">
            <v>50924.97403000202</v>
          </cell>
          <cell r="I5">
            <v>60529</v>
          </cell>
          <cell r="J5">
            <v>69049</v>
          </cell>
          <cell r="K5">
            <v>79177</v>
          </cell>
          <cell r="L5">
            <v>52974</v>
          </cell>
          <cell r="M5">
            <v>50188.5</v>
          </cell>
          <cell r="N5">
            <v>51650.489730000001</v>
          </cell>
          <cell r="O5">
            <v>65398</v>
          </cell>
          <cell r="P5">
            <v>72855.289999999994</v>
          </cell>
          <cell r="Q5">
            <v>69865.354330000002</v>
          </cell>
          <cell r="R5">
            <v>18485</v>
          </cell>
          <cell r="S5">
            <v>17182.614000000001</v>
          </cell>
        </row>
        <row r="6">
          <cell r="B6" t="str">
            <v>Logistic service</v>
          </cell>
          <cell r="C6" t="str">
            <v>NA</v>
          </cell>
          <cell r="D6" t="str">
            <v>NA</v>
          </cell>
          <cell r="E6" t="str">
            <v>NA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>
            <v>56086</v>
          </cell>
          <cell r="L6">
            <v>52582</v>
          </cell>
          <cell r="M6">
            <v>73774</v>
          </cell>
          <cell r="N6">
            <v>70317.662509999995</v>
          </cell>
          <cell r="O6">
            <v>48814</v>
          </cell>
          <cell r="P6">
            <v>54105.764323999872</v>
          </cell>
          <cell r="Q6">
            <v>70977.142229999881</v>
          </cell>
          <cell r="R6">
            <v>17690</v>
          </cell>
          <cell r="S6">
            <v>26052.26151</v>
          </cell>
        </row>
        <row r="7">
          <cell r="B7" t="str">
            <v>Freight car rental</v>
          </cell>
          <cell r="C7">
            <v>11520</v>
          </cell>
          <cell r="D7">
            <v>16590</v>
          </cell>
          <cell r="E7">
            <v>16543</v>
          </cell>
          <cell r="F7">
            <v>22302</v>
          </cell>
          <cell r="G7">
            <v>43957</v>
          </cell>
          <cell r="H7">
            <v>46382</v>
          </cell>
          <cell r="I7">
            <v>34308</v>
          </cell>
          <cell r="J7">
            <v>37811</v>
          </cell>
          <cell r="K7">
            <v>24261</v>
          </cell>
          <cell r="L7">
            <v>13948</v>
          </cell>
          <cell r="M7">
            <v>16780.3</v>
          </cell>
          <cell r="N7">
            <v>25361.675029999999</v>
          </cell>
          <cell r="O7">
            <v>0</v>
          </cell>
          <cell r="P7">
            <v>0</v>
          </cell>
          <cell r="R7">
            <v>0</v>
          </cell>
        </row>
        <row r="8">
          <cell r="B8" t="str">
            <v>Rent of wagons and other rental income</v>
          </cell>
          <cell r="O8">
            <v>16090</v>
          </cell>
          <cell r="P8">
            <v>8838</v>
          </cell>
          <cell r="Q8">
            <v>4647.4379799999997</v>
          </cell>
          <cell r="R8">
            <v>1219</v>
          </cell>
          <cell r="S8">
            <v>1856.73578</v>
          </cell>
        </row>
        <row r="9">
          <cell r="B9" t="str">
            <v>Freight car cross-border charge</v>
          </cell>
          <cell r="O9">
            <v>14156</v>
          </cell>
          <cell r="P9">
            <v>14147.39827</v>
          </cell>
          <cell r="Q9">
            <v>9910.3441219999986</v>
          </cell>
          <cell r="R9">
            <v>4930</v>
          </cell>
          <cell r="S9">
            <v>4092.4353500000002</v>
          </cell>
        </row>
        <row r="10">
          <cell r="B10" t="str">
            <v>Passenger traffic</v>
          </cell>
          <cell r="C10">
            <v>17165</v>
          </cell>
          <cell r="D10">
            <v>16615</v>
          </cell>
          <cell r="E10">
            <v>13952</v>
          </cell>
          <cell r="F10">
            <v>15667.999999999996</v>
          </cell>
          <cell r="G10">
            <v>15257</v>
          </cell>
          <cell r="H10">
            <v>17432</v>
          </cell>
          <cell r="I10">
            <v>18044.400000000001</v>
          </cell>
          <cell r="J10">
            <v>18317</v>
          </cell>
          <cell r="K10">
            <v>15487</v>
          </cell>
          <cell r="L10">
            <v>18007</v>
          </cell>
          <cell r="M10">
            <v>22844</v>
          </cell>
          <cell r="N10">
            <v>27403.903149999998</v>
          </cell>
          <cell r="O10">
            <v>31138</v>
          </cell>
          <cell r="P10">
            <v>11201.26124</v>
          </cell>
          <cell r="Q10">
            <v>14807.701289999999</v>
          </cell>
          <cell r="R10">
            <v>767</v>
          </cell>
          <cell r="S10">
            <v>3696.6550899999997</v>
          </cell>
        </row>
        <row r="11">
          <cell r="B11" t="str">
            <v>Rent, scrap realization,other</v>
          </cell>
          <cell r="C11">
            <v>4931</v>
          </cell>
          <cell r="D11">
            <v>3509.2939999999944</v>
          </cell>
          <cell r="E11">
            <v>3731</v>
          </cell>
          <cell r="F11">
            <v>7721</v>
          </cell>
          <cell r="G11">
            <v>7248</v>
          </cell>
          <cell r="H11">
            <v>4214</v>
          </cell>
          <cell r="I11">
            <v>2908</v>
          </cell>
          <cell r="J11">
            <v>3661</v>
          </cell>
          <cell r="K11">
            <v>6988</v>
          </cell>
          <cell r="L11">
            <v>9799</v>
          </cell>
          <cell r="M11">
            <v>8176</v>
          </cell>
          <cell r="N11">
            <v>8567.3379303000002</v>
          </cell>
          <cell r="O11">
            <v>6927</v>
          </cell>
          <cell r="P11">
            <v>11770</v>
          </cell>
          <cell r="Q11">
            <v>25337.659705000005</v>
          </cell>
          <cell r="R11">
            <v>588</v>
          </cell>
          <cell r="S11">
            <v>1408.2063000000001</v>
          </cell>
        </row>
        <row r="12">
          <cell r="B12" t="str">
            <v>Telecom revenue</v>
          </cell>
          <cell r="C12">
            <v>1578</v>
          </cell>
          <cell r="D12">
            <v>9410.27</v>
          </cell>
          <cell r="E12">
            <v>10462</v>
          </cell>
          <cell r="F12">
            <v>4413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Revenue</v>
          </cell>
          <cell r="C13">
            <v>325486</v>
          </cell>
          <cell r="D13">
            <v>340888</v>
          </cell>
          <cell r="E13">
            <v>318837.58975000004</v>
          </cell>
          <cell r="F13">
            <v>404686.51418</v>
          </cell>
          <cell r="G13">
            <v>477377</v>
          </cell>
          <cell r="H13">
            <v>469819.00000000105</v>
          </cell>
          <cell r="I13">
            <v>479846.40000000002</v>
          </cell>
          <cell r="J13">
            <v>511570</v>
          </cell>
          <cell r="K13">
            <v>574772.60125000007</v>
          </cell>
          <cell r="L13">
            <v>439922</v>
          </cell>
          <cell r="M13">
            <v>434534.3</v>
          </cell>
          <cell r="N13">
            <v>424614.48002003698</v>
          </cell>
          <cell r="O13">
            <v>491038.4</v>
          </cell>
          <cell r="P13">
            <v>489370.15583399986</v>
          </cell>
          <cell r="Q13">
            <v>549474.89699624013</v>
          </cell>
          <cell r="R13">
            <v>127866.088571981</v>
          </cell>
          <cell r="S13">
            <v>141441.72102999999</v>
          </cell>
          <cell r="T13">
            <v>0.10617070256572925</v>
          </cell>
        </row>
        <row r="14">
          <cell r="B14" t="str">
            <v>Income from the transferred property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7503</v>
          </cell>
          <cell r="L14">
            <v>80294</v>
          </cell>
          <cell r="M14">
            <v>23417</v>
          </cell>
          <cell r="N14">
            <v>0</v>
          </cell>
          <cell r="R14">
            <v>0</v>
          </cell>
        </row>
        <row r="15">
          <cell r="B15" t="str">
            <v>Continuing operations</v>
          </cell>
          <cell r="C15">
            <v>6509</v>
          </cell>
          <cell r="D15">
            <v>3213.9999999999995</v>
          </cell>
          <cell r="E15">
            <v>6538.0000000000009</v>
          </cell>
          <cell r="F15">
            <v>7087.9317300000002</v>
          </cell>
          <cell r="G15">
            <v>8622</v>
          </cell>
          <cell r="H15">
            <v>12660</v>
          </cell>
          <cell r="I15">
            <v>15547.483129999995</v>
          </cell>
          <cell r="J15">
            <v>10390</v>
          </cell>
          <cell r="K15">
            <v>13293.115929999998</v>
          </cell>
          <cell r="L15">
            <v>12165</v>
          </cell>
          <cell r="M15">
            <v>7748</v>
          </cell>
          <cell r="N15">
            <v>2785.7098399999995</v>
          </cell>
          <cell r="O15">
            <v>4766.9728000000005</v>
          </cell>
          <cell r="P15">
            <v>3091.0172300000004</v>
          </cell>
          <cell r="Q15">
            <v>3391.2387900000008</v>
          </cell>
          <cell r="R15">
            <v>543.64868999999999</v>
          </cell>
          <cell r="S15">
            <v>590.88044000000002</v>
          </cell>
        </row>
        <row r="16">
          <cell r="B16" t="str">
            <v>Gain on sale of subsidiary</v>
          </cell>
          <cell r="C16">
            <v>0</v>
          </cell>
          <cell r="D16">
            <v>0</v>
          </cell>
          <cell r="E16">
            <v>0</v>
          </cell>
          <cell r="F16">
            <v>4279.1807399999989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</row>
        <row r="17">
          <cell r="B17" t="str">
            <v>Other</v>
          </cell>
          <cell r="C17">
            <v>3055</v>
          </cell>
          <cell r="D17">
            <v>15500</v>
          </cell>
          <cell r="E17">
            <v>4140</v>
          </cell>
          <cell r="F17">
            <v>6450.88753</v>
          </cell>
          <cell r="G17">
            <v>3403</v>
          </cell>
          <cell r="H17">
            <v>19293</v>
          </cell>
          <cell r="I17">
            <v>-95.896187899990906</v>
          </cell>
          <cell r="J17">
            <v>1963.4</v>
          </cell>
          <cell r="K17">
            <v>9975</v>
          </cell>
          <cell r="L17">
            <v>6957</v>
          </cell>
          <cell r="M17">
            <v>7812</v>
          </cell>
          <cell r="N17">
            <v>16726.262319999958</v>
          </cell>
          <cell r="O17">
            <v>7984.1331300000038</v>
          </cell>
          <cell r="P17">
            <v>9456</v>
          </cell>
          <cell r="Q17">
            <v>15755.417839430222</v>
          </cell>
          <cell r="R17">
            <v>1721.0289549999998</v>
          </cell>
          <cell r="S17">
            <v>7046.7198299999991</v>
          </cell>
        </row>
        <row r="18">
          <cell r="B18" t="str">
            <v xml:space="preserve">Other Income </v>
          </cell>
          <cell r="C18">
            <v>9564</v>
          </cell>
          <cell r="D18">
            <v>18714</v>
          </cell>
          <cell r="E18">
            <v>10678</v>
          </cell>
          <cell r="F18">
            <v>17818</v>
          </cell>
          <cell r="G18">
            <v>12025</v>
          </cell>
          <cell r="H18">
            <v>31953</v>
          </cell>
          <cell r="I18">
            <v>15451.586942100004</v>
          </cell>
          <cell r="J18">
            <v>12353.4</v>
          </cell>
          <cell r="K18">
            <v>23268.11593</v>
          </cell>
          <cell r="L18">
            <v>19122</v>
          </cell>
          <cell r="M18">
            <v>15560</v>
          </cell>
          <cell r="N18">
            <v>19511.972159999958</v>
          </cell>
          <cell r="O18">
            <v>12751.105930000005</v>
          </cell>
          <cell r="P18">
            <v>12547.017230000001</v>
          </cell>
          <cell r="Q18">
            <v>19146.656629430221</v>
          </cell>
          <cell r="R18">
            <v>2264.6776449999998</v>
          </cell>
          <cell r="S18">
            <v>7637.600269999999</v>
          </cell>
        </row>
        <row r="20">
          <cell r="B20" t="str">
            <v>Impairment loss on property, plant and equipment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-382616</v>
          </cell>
          <cell r="N20">
            <v>-691387</v>
          </cell>
          <cell r="O20">
            <v>0</v>
          </cell>
        </row>
        <row r="21">
          <cell r="B21" t="str">
            <v>Employee benefits expense</v>
          </cell>
          <cell r="C21">
            <v>-105307</v>
          </cell>
          <cell r="D21">
            <v>-108747</v>
          </cell>
          <cell r="E21">
            <v>-106113</v>
          </cell>
          <cell r="F21">
            <v>-111257</v>
          </cell>
          <cell r="G21">
            <v>-108493</v>
          </cell>
          <cell r="H21">
            <v>-108467</v>
          </cell>
          <cell r="I21">
            <v>-133509</v>
          </cell>
          <cell r="J21">
            <v>-145174</v>
          </cell>
          <cell r="K21">
            <v>-148624.53599999999</v>
          </cell>
          <cell r="L21">
            <v>-146626.17303330617</v>
          </cell>
          <cell r="M21">
            <v>-148302</v>
          </cell>
          <cell r="N21">
            <v>-154338.38369999995</v>
          </cell>
          <cell r="O21">
            <v>-160561.48311999999</v>
          </cell>
          <cell r="P21">
            <v>-170502.46343999999</v>
          </cell>
          <cell r="Q21">
            <v>-180701.64169999995</v>
          </cell>
          <cell r="R21">
            <v>-40536.908000000003</v>
          </cell>
          <cell r="S21">
            <v>-46238.961219999997</v>
          </cell>
        </row>
        <row r="22">
          <cell r="B22" t="str">
            <v>Depreciation and amortization expenses</v>
          </cell>
          <cell r="C22">
            <v>-106658</v>
          </cell>
          <cell r="D22">
            <v>-98884.999999999985</v>
          </cell>
          <cell r="E22">
            <v>-96111</v>
          </cell>
          <cell r="F22">
            <v>-98749</v>
          </cell>
          <cell r="G22">
            <v>-92137</v>
          </cell>
          <cell r="H22">
            <v>-97082</v>
          </cell>
          <cell r="I22">
            <v>-101927</v>
          </cell>
          <cell r="J22">
            <v>-105258</v>
          </cell>
          <cell r="K22">
            <v>-104416.45</v>
          </cell>
          <cell r="L22">
            <v>-106267.40683187498</v>
          </cell>
          <cell r="M22">
            <v>-109702.66793545007</v>
          </cell>
          <cell r="N22">
            <v>-113804.157538114</v>
          </cell>
          <cell r="O22">
            <v>-81234.702628384475</v>
          </cell>
          <cell r="P22">
            <v>-76155.804615348898</v>
          </cell>
          <cell r="Q22">
            <v>-58292.107051971128</v>
          </cell>
          <cell r="R22">
            <v>-17346.439598200501</v>
          </cell>
          <cell r="S22">
            <v>-13826.7664205248</v>
          </cell>
        </row>
        <row r="23">
          <cell r="B23" t="str">
            <v>Electricity, inventory and repair work</v>
          </cell>
          <cell r="C23">
            <v>-64707</v>
          </cell>
          <cell r="D23">
            <v>-56460</v>
          </cell>
          <cell r="E23">
            <v>-49491.051590000003</v>
          </cell>
          <cell r="F23">
            <v>-49629</v>
          </cell>
          <cell r="G23">
            <v>-58863</v>
          </cell>
          <cell r="H23">
            <v>-60702.261096697097</v>
          </cell>
          <cell r="I23">
            <v>-59716</v>
          </cell>
          <cell r="J23">
            <v>-57240</v>
          </cell>
          <cell r="K23">
            <v>-60927.400999999998</v>
          </cell>
          <cell r="L23">
            <v>-47289</v>
          </cell>
          <cell r="M23">
            <v>-41490.400000000001</v>
          </cell>
          <cell r="N23">
            <v>-43707.972553299995</v>
          </cell>
          <cell r="O23">
            <v>-47921</v>
          </cell>
          <cell r="P23">
            <v>-41410.806160000007</v>
          </cell>
          <cell r="Q23">
            <v>-54566.009279999991</v>
          </cell>
          <cell r="R23">
            <v>-10594.3</v>
          </cell>
          <cell r="S23">
            <v>-17759.43144</v>
          </cell>
        </row>
        <row r="24">
          <cell r="B24" t="str">
            <v>Electricity</v>
          </cell>
          <cell r="C24">
            <v>-18192</v>
          </cell>
          <cell r="D24">
            <v>-22319</v>
          </cell>
          <cell r="E24">
            <v>-19310.514590000002</v>
          </cell>
          <cell r="F24">
            <v>-21386</v>
          </cell>
          <cell r="G24">
            <v>-24180</v>
          </cell>
          <cell r="H24">
            <v>-23127</v>
          </cell>
          <cell r="I24">
            <v>-21236</v>
          </cell>
          <cell r="J24">
            <v>-20091</v>
          </cell>
          <cell r="K24">
            <v>-20424.170999999998</v>
          </cell>
          <cell r="L24">
            <v>-21687</v>
          </cell>
          <cell r="M24">
            <v>-20868.400000000001</v>
          </cell>
          <cell r="N24">
            <v>-20962</v>
          </cell>
          <cell r="O24">
            <v>-22069</v>
          </cell>
          <cell r="P24">
            <v>-19519</v>
          </cell>
          <cell r="Q24">
            <v>-30857.173719999999</v>
          </cell>
          <cell r="R24">
            <v>-6207.4</v>
          </cell>
          <cell r="S24">
            <v>-11888.110570000001</v>
          </cell>
        </row>
        <row r="25">
          <cell r="B25" t="str">
            <v>Materials</v>
          </cell>
          <cell r="C25">
            <v>-24662</v>
          </cell>
          <cell r="D25">
            <v>-11793</v>
          </cell>
          <cell r="E25">
            <v>-13345.137000000001</v>
          </cell>
          <cell r="F25">
            <v>-13565</v>
          </cell>
          <cell r="G25">
            <v>-13849</v>
          </cell>
          <cell r="H25">
            <v>-20758.261096697101</v>
          </cell>
          <cell r="I25">
            <v>-19770</v>
          </cell>
          <cell r="J25">
            <v>-19280</v>
          </cell>
          <cell r="K25">
            <v>-19275.973000000002</v>
          </cell>
          <cell r="L25">
            <v>-14121</v>
          </cell>
          <cell r="M25">
            <v>-11565</v>
          </cell>
          <cell r="N25">
            <v>-11928.544413299998</v>
          </cell>
          <cell r="O25">
            <v>-12135</v>
          </cell>
          <cell r="P25">
            <v>-10306.149170000001</v>
          </cell>
          <cell r="Q25">
            <v>-12103.006959999993</v>
          </cell>
          <cell r="R25">
            <v>-2207.5</v>
          </cell>
          <cell r="S25">
            <v>-2715.19328</v>
          </cell>
        </row>
        <row r="26">
          <cell r="B26" t="str">
            <v>Fuel</v>
          </cell>
          <cell r="C26">
            <v>-9530</v>
          </cell>
          <cell r="D26">
            <v>-11775</v>
          </cell>
          <cell r="E26">
            <v>-7659.4</v>
          </cell>
          <cell r="F26">
            <v>-9669</v>
          </cell>
          <cell r="G26">
            <v>-9734</v>
          </cell>
          <cell r="H26">
            <v>-9088</v>
          </cell>
          <cell r="I26">
            <v>-8160</v>
          </cell>
          <cell r="J26">
            <v>-7868</v>
          </cell>
          <cell r="K26">
            <v>-5806.991</v>
          </cell>
          <cell r="L26">
            <v>-4306</v>
          </cell>
          <cell r="M26">
            <v>-5237</v>
          </cell>
          <cell r="N26">
            <v>-6704.2748800000008</v>
          </cell>
          <cell r="O26">
            <v>-7023</v>
          </cell>
          <cell r="P26">
            <v>-6184</v>
          </cell>
          <cell r="Q26">
            <v>-6543.7870800000001</v>
          </cell>
          <cell r="R26">
            <v>-1372.4</v>
          </cell>
          <cell r="S26">
            <v>-2041.8066100000001</v>
          </cell>
        </row>
        <row r="27">
          <cell r="B27" t="str">
            <v>Repair and maintenance</v>
          </cell>
          <cell r="C27">
            <v>-12323</v>
          </cell>
          <cell r="D27">
            <v>-10573</v>
          </cell>
          <cell r="E27">
            <v>-9176</v>
          </cell>
          <cell r="F27">
            <v>-5009</v>
          </cell>
          <cell r="G27">
            <v>-11100</v>
          </cell>
          <cell r="H27">
            <v>-7729</v>
          </cell>
          <cell r="I27">
            <v>-10550</v>
          </cell>
          <cell r="J27">
            <v>-10001</v>
          </cell>
          <cell r="K27">
            <v>-15420.266</v>
          </cell>
          <cell r="L27">
            <v>-7175</v>
          </cell>
          <cell r="M27">
            <v>-3820</v>
          </cell>
          <cell r="N27">
            <v>-4113.15326</v>
          </cell>
          <cell r="O27">
            <v>-6694</v>
          </cell>
          <cell r="P27">
            <v>-5401.6569900000004</v>
          </cell>
          <cell r="Q27">
            <v>-5062.0415200000007</v>
          </cell>
          <cell r="R27">
            <v>-807</v>
          </cell>
          <cell r="S27">
            <v>-1114.32098</v>
          </cell>
        </row>
        <row r="28">
          <cell r="B28" t="str">
            <v xml:space="preserve">Impairment loss on trade receivables </v>
          </cell>
          <cell r="M28">
            <v>-12115</v>
          </cell>
          <cell r="N28">
            <v>-12017</v>
          </cell>
          <cell r="O28">
            <v>-33728.664903263598</v>
          </cell>
          <cell r="P28">
            <v>-13559.5</v>
          </cell>
          <cell r="Q28">
            <v>-1322.0080499975393</v>
          </cell>
          <cell r="R28">
            <v>-2004</v>
          </cell>
          <cell r="S28">
            <v>-241.861980000008</v>
          </cell>
        </row>
        <row r="29">
          <cell r="B29" t="str">
            <v>Other Expenses</v>
          </cell>
          <cell r="C29">
            <v>-35509</v>
          </cell>
          <cell r="D29">
            <v>-42114</v>
          </cell>
          <cell r="E29">
            <v>-54963</v>
          </cell>
          <cell r="F29">
            <v>-66806</v>
          </cell>
          <cell r="G29">
            <v>-62119</v>
          </cell>
          <cell r="H29">
            <v>-80716.648019999993</v>
          </cell>
          <cell r="I29">
            <v>-78769</v>
          </cell>
          <cell r="J29">
            <v>-71479</v>
          </cell>
          <cell r="K29">
            <v>-73205</v>
          </cell>
          <cell r="L29">
            <v>-63667.6708</v>
          </cell>
          <cell r="M29">
            <v>-71867.899999999994</v>
          </cell>
          <cell r="N29">
            <v>-73758.080279999995</v>
          </cell>
          <cell r="O29">
            <v>-72128.399999999994</v>
          </cell>
          <cell r="P29">
            <v>-71042.112440000128</v>
          </cell>
          <cell r="Q29">
            <v>-97669.912949358986</v>
          </cell>
          <cell r="R29">
            <v>-21415.5</v>
          </cell>
          <cell r="S29">
            <v>-34319.315120000065</v>
          </cell>
        </row>
        <row r="30">
          <cell r="B30" t="str">
            <v>Taxes other than income tax</v>
          </cell>
          <cell r="C30">
            <v>-7527</v>
          </cell>
          <cell r="D30">
            <v>-3632.9999999999995</v>
          </cell>
          <cell r="E30">
            <v>-16591</v>
          </cell>
          <cell r="F30">
            <v>-16276.999999999998</v>
          </cell>
          <cell r="G30">
            <v>-17658</v>
          </cell>
          <cell r="H30">
            <v>-20729</v>
          </cell>
          <cell r="I30">
            <v>-23554</v>
          </cell>
          <cell r="J30">
            <v>-24384</v>
          </cell>
          <cell r="K30">
            <v>-25969</v>
          </cell>
          <cell r="L30">
            <v>-26474.187999999998</v>
          </cell>
          <cell r="M30">
            <v>-27043.4</v>
          </cell>
          <cell r="N30">
            <v>-26813</v>
          </cell>
          <cell r="O30">
            <v>-22225</v>
          </cell>
          <cell r="P30">
            <v>-23937.950830000002</v>
          </cell>
          <cell r="Q30">
            <v>-21156.506239999999</v>
          </cell>
          <cell r="R30">
            <v>-5720</v>
          </cell>
          <cell r="S30">
            <v>-5892.5318499999994</v>
          </cell>
          <cell r="T30">
            <v>-5892.5318500000003</v>
          </cell>
        </row>
        <row r="31">
          <cell r="B31" t="str">
            <v>Write off of PPE</v>
          </cell>
          <cell r="C31">
            <v>0</v>
          </cell>
          <cell r="D31">
            <v>0</v>
          </cell>
          <cell r="E31">
            <v>-6622</v>
          </cell>
          <cell r="F31">
            <v>-4831</v>
          </cell>
          <cell r="G31">
            <v>-4094</v>
          </cell>
          <cell r="H31">
            <v>-5853.6480199999996</v>
          </cell>
          <cell r="I31">
            <v>-296</v>
          </cell>
          <cell r="J31">
            <v>0</v>
          </cell>
          <cell r="K31">
            <v>-164</v>
          </cell>
          <cell r="L31">
            <v>-254.48280000000003</v>
          </cell>
          <cell r="M31">
            <v>-803</v>
          </cell>
          <cell r="N31">
            <v>-1250</v>
          </cell>
          <cell r="O31">
            <v>-1030</v>
          </cell>
          <cell r="P31">
            <v>-2235.6</v>
          </cell>
          <cell r="Q31">
            <v>-1874.1280400000001</v>
          </cell>
          <cell r="R31">
            <v>-274.5</v>
          </cell>
          <cell r="S31">
            <v>-6321.2419</v>
          </cell>
        </row>
        <row r="32">
          <cell r="B32" t="str">
            <v>Write off of CIP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-8931</v>
          </cell>
          <cell r="I32">
            <v>-5687</v>
          </cell>
          <cell r="J32">
            <v>-3858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 t="str">
            <v>Security and other operating expenses</v>
          </cell>
          <cell r="C33">
            <v>-15333</v>
          </cell>
          <cell r="D33">
            <v>-19337</v>
          </cell>
          <cell r="E33">
            <v>-15587.999999999998</v>
          </cell>
          <cell r="F33">
            <v>-17532</v>
          </cell>
          <cell r="G33">
            <v>-16967</v>
          </cell>
          <cell r="H33">
            <v>-20165</v>
          </cell>
          <cell r="I33">
            <v>-27387</v>
          </cell>
          <cell r="J33">
            <v>-23245</v>
          </cell>
          <cell r="K33">
            <v>-8734</v>
          </cell>
          <cell r="L33">
            <v>-8928</v>
          </cell>
          <cell r="M33">
            <v>-8918</v>
          </cell>
          <cell r="N33">
            <v>-9208.5802800000001</v>
          </cell>
          <cell r="O33">
            <v>-9246</v>
          </cell>
          <cell r="P33">
            <v>-9916.7000000000007</v>
          </cell>
          <cell r="Q33">
            <v>-9722.5920000000006</v>
          </cell>
          <cell r="R33">
            <v>-2415.5</v>
          </cell>
          <cell r="S33">
            <v>-2418.1846099999998</v>
          </cell>
        </row>
        <row r="34">
          <cell r="B34" t="str">
            <v>Freight car cross-border charge</v>
          </cell>
          <cell r="C34">
            <v>-9371</v>
          </cell>
          <cell r="D34">
            <v>-10746</v>
          </cell>
          <cell r="E34">
            <v>-6378</v>
          </cell>
          <cell r="F34">
            <v>-9046</v>
          </cell>
          <cell r="G34">
            <v>-23400</v>
          </cell>
          <cell r="H34">
            <v>-25038</v>
          </cell>
          <cell r="I34">
            <v>-21845</v>
          </cell>
          <cell r="J34">
            <v>-19992</v>
          </cell>
          <cell r="K34">
            <v>-11210</v>
          </cell>
          <cell r="L34">
            <v>-4407</v>
          </cell>
          <cell r="M34">
            <v>-4094.5</v>
          </cell>
          <cell r="N34">
            <v>-4177</v>
          </cell>
          <cell r="O34">
            <v>-3780</v>
          </cell>
          <cell r="P34">
            <v>-3688.1096499999999</v>
          </cell>
          <cell r="Q34">
            <v>-4064.7903871999997</v>
          </cell>
          <cell r="R34">
            <v>-2488</v>
          </cell>
          <cell r="S34">
            <v>-2626.6642400000001</v>
          </cell>
        </row>
        <row r="35">
          <cell r="B35" t="str">
            <v>Logistic service</v>
          </cell>
          <cell r="C35" t="str">
            <v>NA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>
            <v>-17197</v>
          </cell>
          <cell r="L35">
            <v>-14270</v>
          </cell>
          <cell r="M35">
            <v>-12996</v>
          </cell>
          <cell r="N35">
            <v>-17635.5</v>
          </cell>
          <cell r="O35">
            <v>-20182</v>
          </cell>
          <cell r="P35">
            <v>-21105.292150000092</v>
          </cell>
          <cell r="Q35">
            <v>-34362.120619999849</v>
          </cell>
          <cell r="R35">
            <v>-8897</v>
          </cell>
          <cell r="S35">
            <v>-15564.661279999998</v>
          </cell>
        </row>
        <row r="36">
          <cell r="B36" t="str">
            <v>Internet and cable lease (Telecom)</v>
          </cell>
          <cell r="C36">
            <v>-1279</v>
          </cell>
          <cell r="D36">
            <v>-5071</v>
          </cell>
          <cell r="E36">
            <v>-7116.0000000000009</v>
          </cell>
          <cell r="F36">
            <v>-3611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Inventory write-off</v>
          </cell>
          <cell r="C37">
            <v>0</v>
          </cell>
          <cell r="D37">
            <v>-96</v>
          </cell>
          <cell r="E37">
            <v>-2668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 xml:space="preserve">Other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-7576</v>
          </cell>
          <cell r="L38">
            <v>-8944</v>
          </cell>
          <cell r="M38">
            <v>-18013</v>
          </cell>
          <cell r="N38">
            <v>-14674</v>
          </cell>
          <cell r="O38">
            <v>-15665.4</v>
          </cell>
          <cell r="P38">
            <v>-10158.459810000033</v>
          </cell>
          <cell r="Q38">
            <v>-26489.775662159147</v>
          </cell>
          <cell r="R38">
            <v>-1620.5</v>
          </cell>
          <cell r="S38">
            <v>-1496.0312400000601</v>
          </cell>
          <cell r="T38">
            <v>-1496.0312400000601</v>
          </cell>
        </row>
        <row r="39">
          <cell r="B39" t="str">
            <v>Other provisions</v>
          </cell>
          <cell r="C39">
            <v>-1999</v>
          </cell>
          <cell r="D39">
            <v>-3231.0000000000005</v>
          </cell>
          <cell r="E39">
            <v>0</v>
          </cell>
          <cell r="F39">
            <v>-15508.999999999998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-2355</v>
          </cell>
          <cell r="L39">
            <v>-390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Operating activities</v>
          </cell>
          <cell r="C40">
            <v>22869</v>
          </cell>
          <cell r="D40">
            <v>53396</v>
          </cell>
          <cell r="E40">
            <v>22837.53816000004</v>
          </cell>
          <cell r="F40">
            <v>96063.514179999998</v>
          </cell>
          <cell r="G40">
            <v>167790</v>
          </cell>
          <cell r="H40">
            <v>154804.09088330396</v>
          </cell>
          <cell r="I40">
            <v>121376.98694210005</v>
          </cell>
          <cell r="J40">
            <v>144772.40000000002</v>
          </cell>
          <cell r="K40">
            <v>218370.33018000005</v>
          </cell>
          <cell r="L40">
            <v>175487.74933481889</v>
          </cell>
          <cell r="M40">
            <v>-292582.6679354501</v>
          </cell>
          <cell r="N40">
            <v>-644886.14189137705</v>
          </cell>
          <cell r="O40">
            <v>108215.25527835201</v>
          </cell>
          <cell r="P40">
            <v>129246.48640865088</v>
          </cell>
          <cell r="Q40">
            <v>176069.87459434281</v>
          </cell>
          <cell r="R40">
            <v>38233.6186187805</v>
          </cell>
          <cell r="S40">
            <v>36692.98511947511</v>
          </cell>
          <cell r="T40">
            <v>-4.0295257288270991E-2</v>
          </cell>
        </row>
        <row r="41">
          <cell r="B41" t="str">
            <v>Finance income</v>
          </cell>
          <cell r="C41">
            <v>1877</v>
          </cell>
          <cell r="D41">
            <v>884</v>
          </cell>
          <cell r="E41">
            <v>610.18203000000005</v>
          </cell>
          <cell r="F41">
            <v>45411</v>
          </cell>
          <cell r="G41">
            <v>27035.729296007921</v>
          </cell>
          <cell r="H41">
            <v>19106.37283</v>
          </cell>
          <cell r="I41">
            <v>12334</v>
          </cell>
          <cell r="J41">
            <v>11666.4</v>
          </cell>
          <cell r="K41">
            <v>20932.477999999999</v>
          </cell>
          <cell r="L41">
            <v>23882</v>
          </cell>
          <cell r="M41">
            <v>43281</v>
          </cell>
          <cell r="N41">
            <v>14533.584416621001</v>
          </cell>
          <cell r="O41">
            <v>14849.4</v>
          </cell>
          <cell r="P41">
            <v>26508</v>
          </cell>
          <cell r="Q41">
            <v>105759.56541991211</v>
          </cell>
          <cell r="R41">
            <v>4802</v>
          </cell>
          <cell r="S41">
            <v>5555.3202099999999</v>
          </cell>
        </row>
        <row r="42">
          <cell r="B42" t="str">
            <v xml:space="preserve">Interest income </v>
          </cell>
          <cell r="C42">
            <v>1669</v>
          </cell>
          <cell r="D42">
            <v>884</v>
          </cell>
          <cell r="E42">
            <v>610.18203000000005</v>
          </cell>
          <cell r="F42">
            <v>3229</v>
          </cell>
          <cell r="G42">
            <v>10940.994720000001</v>
          </cell>
          <cell r="H42">
            <v>15902.131569999998</v>
          </cell>
          <cell r="I42">
            <v>12334</v>
          </cell>
          <cell r="J42">
            <v>11666.4</v>
          </cell>
          <cell r="K42">
            <v>20932.477999999999</v>
          </cell>
          <cell r="L42">
            <v>23882</v>
          </cell>
          <cell r="M42">
            <v>17793</v>
          </cell>
          <cell r="N42">
            <v>14533.584416621001</v>
          </cell>
          <cell r="O42">
            <v>14849.4</v>
          </cell>
          <cell r="P42">
            <v>18920</v>
          </cell>
          <cell r="Q42">
            <v>23630.519389999998</v>
          </cell>
          <cell r="R42">
            <v>4802</v>
          </cell>
          <cell r="S42">
            <v>5555.3202099999999</v>
          </cell>
        </row>
        <row r="43">
          <cell r="B43" t="str">
            <v>Net foreign exchange gain</v>
          </cell>
          <cell r="C43">
            <v>208.00000000000003</v>
          </cell>
          <cell r="D43">
            <v>0</v>
          </cell>
          <cell r="E43">
            <v>0</v>
          </cell>
          <cell r="F43">
            <v>42182</v>
          </cell>
          <cell r="G43">
            <v>16094.734576007921</v>
          </cell>
          <cell r="H43">
            <v>3204.2412600000021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25488</v>
          </cell>
          <cell r="N43">
            <v>0</v>
          </cell>
          <cell r="O43">
            <v>0</v>
          </cell>
          <cell r="P43">
            <v>0</v>
          </cell>
          <cell r="Q43">
            <v>82090.074399912104</v>
          </cell>
          <cell r="R43">
            <v>0</v>
          </cell>
          <cell r="S43">
            <v>0</v>
          </cell>
        </row>
        <row r="44">
          <cell r="B44" t="str">
            <v>Gain on modification of financial instruments</v>
          </cell>
          <cell r="P44">
            <v>7367</v>
          </cell>
          <cell r="R44">
            <v>0</v>
          </cell>
          <cell r="S44">
            <v>0</v>
          </cell>
        </row>
        <row r="45">
          <cell r="B45" t="str">
            <v>Impairment gain on cash in bank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221</v>
          </cell>
          <cell r="Q45">
            <v>38.971630000000005</v>
          </cell>
          <cell r="R45">
            <v>0</v>
          </cell>
          <cell r="S45">
            <v>0</v>
          </cell>
        </row>
        <row r="46">
          <cell r="B46" t="str">
            <v>Impairment gain on PPE</v>
          </cell>
          <cell r="R46">
            <v>0</v>
          </cell>
          <cell r="S46">
            <v>0</v>
          </cell>
          <cell r="T46">
            <v>-92442.9</v>
          </cell>
        </row>
        <row r="47">
          <cell r="B47" t="str">
            <v>Finance cost</v>
          </cell>
          <cell r="C47">
            <v>-3268</v>
          </cell>
          <cell r="D47">
            <v>-11905</v>
          </cell>
          <cell r="E47">
            <v>-4770.9974899999997</v>
          </cell>
          <cell r="F47">
            <v>-17669</v>
          </cell>
          <cell r="G47">
            <v>-10491.581414500013</v>
          </cell>
          <cell r="H47">
            <v>-59310.061595699975</v>
          </cell>
          <cell r="I47">
            <v>-57521</v>
          </cell>
          <cell r="J47">
            <v>-111269</v>
          </cell>
          <cell r="K47">
            <v>-315355.18</v>
          </cell>
          <cell r="L47">
            <v>-173103</v>
          </cell>
          <cell r="M47">
            <v>-104150</v>
          </cell>
          <cell r="N47">
            <v>-85017.600000000006</v>
          </cell>
          <cell r="O47">
            <v>-128131.29999999999</v>
          </cell>
          <cell r="P47">
            <v>-319884.40000000002</v>
          </cell>
          <cell r="Q47">
            <v>-217584.33368671313</v>
          </cell>
          <cell r="R47">
            <v>-97244.9</v>
          </cell>
          <cell r="S47">
            <v>-18612.219830090329</v>
          </cell>
        </row>
        <row r="48">
          <cell r="B48" t="str">
            <v xml:space="preserve">Impairment loss on trade receivables </v>
          </cell>
          <cell r="C48">
            <v>-2476</v>
          </cell>
          <cell r="D48">
            <v>-8937</v>
          </cell>
          <cell r="E48">
            <v>-3235.0000000000005</v>
          </cell>
          <cell r="F48">
            <v>-6053</v>
          </cell>
          <cell r="G48">
            <v>-7404.5814145000131</v>
          </cell>
          <cell r="H48">
            <v>-7681.3082856999781</v>
          </cell>
          <cell r="I48">
            <v>-8903</v>
          </cell>
          <cell r="J48">
            <v>-5245</v>
          </cell>
          <cell r="K48">
            <v>-28626.697</v>
          </cell>
          <cell r="L48">
            <v>-7972</v>
          </cell>
          <cell r="M48">
            <v>-27215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 t="str">
            <v>Impairment loss on issued loans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-23502</v>
          </cell>
          <cell r="N49">
            <v>-149</v>
          </cell>
          <cell r="O49">
            <v>-39.4</v>
          </cell>
          <cell r="P49">
            <v>0</v>
          </cell>
          <cell r="Q49">
            <v>-4.2409999999999997</v>
          </cell>
          <cell r="R49">
            <v>-8.5</v>
          </cell>
          <cell r="S49">
            <v>-99.254999999999995</v>
          </cell>
        </row>
        <row r="50">
          <cell r="B50" t="str">
            <v>Impairment loss on cash in bank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-147</v>
          </cell>
          <cell r="S50">
            <v>-223.18564000000001</v>
          </cell>
        </row>
        <row r="51">
          <cell r="B51" t="str">
            <v>Loss on bond repayment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-41177.710799999993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 t="str">
            <v>Unwinding of discount</v>
          </cell>
          <cell r="P52">
            <v>-1225</v>
          </cell>
          <cell r="Q52">
            <v>-419.04500000000002</v>
          </cell>
          <cell r="R52">
            <v>-418.4</v>
          </cell>
          <cell r="S52">
            <v>0</v>
          </cell>
        </row>
        <row r="53">
          <cell r="B53" t="str">
            <v>Net foreign exchange loss</v>
          </cell>
          <cell r="C53">
            <v>0</v>
          </cell>
          <cell r="D53">
            <v>-1799.9999999999998</v>
          </cell>
          <cell r="E53">
            <v>-10.602559999998746</v>
          </cell>
          <cell r="F53">
            <v>0</v>
          </cell>
          <cell r="G53">
            <v>0</v>
          </cell>
          <cell r="H53">
            <v>0</v>
          </cell>
          <cell r="I53">
            <v>-34367</v>
          </cell>
          <cell r="J53">
            <v>-61133</v>
          </cell>
          <cell r="K53">
            <v>-226837.34</v>
          </cell>
          <cell r="L53">
            <v>-112309</v>
          </cell>
          <cell r="M53">
            <v>0</v>
          </cell>
          <cell r="N53">
            <v>-37516.9</v>
          </cell>
          <cell r="O53">
            <v>-85248.5</v>
          </cell>
          <cell r="P53">
            <v>-191901.4</v>
          </cell>
          <cell r="Q53">
            <v>0</v>
          </cell>
          <cell r="R53">
            <v>-63951</v>
          </cell>
          <cell r="S53">
            <v>-2024.7388400903301</v>
          </cell>
        </row>
        <row r="54">
          <cell r="B54" t="str">
            <v>Interest expense</v>
          </cell>
          <cell r="C54">
            <v>-791.99999999999989</v>
          </cell>
          <cell r="D54">
            <v>-1168</v>
          </cell>
          <cell r="E54">
            <v>-1525.3949299999999</v>
          </cell>
          <cell r="F54">
            <v>-11616</v>
          </cell>
          <cell r="G54">
            <v>-40</v>
          </cell>
          <cell r="H54">
            <v>-10436.042510000008</v>
          </cell>
          <cell r="I54">
            <v>-14251</v>
          </cell>
          <cell r="J54">
            <v>-44891</v>
          </cell>
          <cell r="K54">
            <v>-59891.142999999996</v>
          </cell>
          <cell r="L54">
            <v>-52822</v>
          </cell>
          <cell r="M54">
            <v>-53433</v>
          </cell>
          <cell r="N54">
            <v>-47351.7</v>
          </cell>
          <cell r="O54">
            <v>-42843.4</v>
          </cell>
          <cell r="P54">
            <v>-126758</v>
          </cell>
          <cell r="Q54">
            <v>-101474.85536671315</v>
          </cell>
          <cell r="R54">
            <v>-32720</v>
          </cell>
          <cell r="S54">
            <v>-16265.040349999999</v>
          </cell>
        </row>
        <row r="55">
          <cell r="B55" t="str">
            <v>Premium on early redemption of issued bonds</v>
          </cell>
          <cell r="Q55">
            <v>-115686.19231999999</v>
          </cell>
          <cell r="R55">
            <v>0</v>
          </cell>
          <cell r="S55">
            <v>0</v>
          </cell>
        </row>
        <row r="56">
          <cell r="B56" t="str">
            <v>Prepaid finance costs written off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-3047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 t="str">
            <v>Borrowing costs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-15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 t="str">
            <v>Profit before income tax</v>
          </cell>
          <cell r="C58">
            <v>21478</v>
          </cell>
          <cell r="D58">
            <v>42375</v>
          </cell>
          <cell r="E58">
            <v>18676.722700000042</v>
          </cell>
          <cell r="F58">
            <v>123805.51418</v>
          </cell>
          <cell r="G58">
            <v>184334.1478815079</v>
          </cell>
          <cell r="H58">
            <v>114600.40211760398</v>
          </cell>
          <cell r="I58">
            <v>76189.986942100048</v>
          </cell>
          <cell r="J58">
            <v>45169.800000000017</v>
          </cell>
          <cell r="K58">
            <v>-76052.371819999942</v>
          </cell>
          <cell r="L58">
            <v>26266.749334818887</v>
          </cell>
          <cell r="M58">
            <v>-353451.6679354501</v>
          </cell>
          <cell r="N58">
            <v>-715370.15747475601</v>
          </cell>
          <cell r="O58">
            <v>-5066.6447216479864</v>
          </cell>
          <cell r="P58">
            <v>-164129.91359134915</v>
          </cell>
          <cell r="Q58">
            <v>64245.106327541755</v>
          </cell>
          <cell r="R58">
            <v>-54209.281381219495</v>
          </cell>
          <cell r="S58">
            <v>23636.085499384779</v>
          </cell>
        </row>
        <row r="59">
          <cell r="B59" t="str">
            <v>Income tax expense</v>
          </cell>
          <cell r="C59">
            <v>17706</v>
          </cell>
          <cell r="D59">
            <v>-6312.0000000000018</v>
          </cell>
          <cell r="E59">
            <v>-2869.0000000000009</v>
          </cell>
          <cell r="F59">
            <v>-22273.000000000095</v>
          </cell>
          <cell r="G59">
            <v>-9921</v>
          </cell>
          <cell r="H59">
            <v>-17383</v>
          </cell>
          <cell r="I59">
            <v>-10960</v>
          </cell>
          <cell r="J59">
            <v>-5884</v>
          </cell>
          <cell r="K59">
            <v>10555</v>
          </cell>
          <cell r="L59">
            <v>38859</v>
          </cell>
          <cell r="M59">
            <v>-648.4</v>
          </cell>
          <cell r="N59">
            <v>-1168.85862</v>
          </cell>
          <cell r="O59">
            <v>-518.94262000000003</v>
          </cell>
          <cell r="P59">
            <v>-513.82754999999997</v>
          </cell>
          <cell r="Q59">
            <v>-6977.8096899999991</v>
          </cell>
          <cell r="R59">
            <v>-171.7353</v>
          </cell>
          <cell r="S59">
            <v>-89.324820000000003</v>
          </cell>
        </row>
        <row r="60">
          <cell r="B60" t="str">
            <v>Current year</v>
          </cell>
          <cell r="C60">
            <v>-21412</v>
          </cell>
          <cell r="D60">
            <v>-15093.000000000002</v>
          </cell>
          <cell r="E60">
            <v>-9835</v>
          </cell>
          <cell r="F60">
            <v>-30569.000000000095</v>
          </cell>
          <cell r="G60">
            <v>-15517</v>
          </cell>
          <cell r="H60">
            <v>-21006</v>
          </cell>
          <cell r="I60">
            <v>-9826</v>
          </cell>
          <cell r="J60">
            <v>-4322</v>
          </cell>
          <cell r="K60">
            <v>-5052</v>
          </cell>
          <cell r="L60">
            <v>-5532</v>
          </cell>
          <cell r="M60">
            <v>-648.4</v>
          </cell>
          <cell r="N60">
            <v>-1168.85862</v>
          </cell>
          <cell r="O60">
            <v>-518.94262000000003</v>
          </cell>
          <cell r="P60">
            <v>-513.82754999999997</v>
          </cell>
          <cell r="Q60">
            <v>-6977.8096899999991</v>
          </cell>
          <cell r="R60">
            <v>-171.7353</v>
          </cell>
          <cell r="S60">
            <v>-89.324820000000003</v>
          </cell>
        </row>
        <row r="61">
          <cell r="B61" t="str">
            <v>Deferred tax</v>
          </cell>
          <cell r="C61">
            <v>39118</v>
          </cell>
          <cell r="D61">
            <v>8781</v>
          </cell>
          <cell r="E61">
            <v>6965.9999999999991</v>
          </cell>
          <cell r="F61">
            <v>8296</v>
          </cell>
          <cell r="G61">
            <v>5596</v>
          </cell>
          <cell r="H61">
            <v>3623</v>
          </cell>
          <cell r="I61">
            <v>-1134</v>
          </cell>
          <cell r="J61">
            <v>-1562</v>
          </cell>
          <cell r="K61">
            <v>15607</v>
          </cell>
          <cell r="L61">
            <v>44391</v>
          </cell>
          <cell r="M61">
            <v>0</v>
          </cell>
          <cell r="N61">
            <v>0</v>
          </cell>
          <cell r="O61">
            <v>0</v>
          </cell>
          <cell r="R61">
            <v>0</v>
          </cell>
        </row>
        <row r="62">
          <cell r="B62" t="str">
            <v>Profit and total compregensive income for the year</v>
          </cell>
          <cell r="C62">
            <v>39184</v>
          </cell>
          <cell r="D62">
            <v>36063</v>
          </cell>
          <cell r="E62">
            <v>15807.722700000042</v>
          </cell>
          <cell r="F62">
            <v>101532.51417999991</v>
          </cell>
          <cell r="G62">
            <v>174413.1478815079</v>
          </cell>
          <cell r="H62">
            <v>97217.402117603982</v>
          </cell>
          <cell r="I62">
            <v>65229.986942100048</v>
          </cell>
          <cell r="J62">
            <v>39285.800000000017</v>
          </cell>
          <cell r="K62">
            <v>-65497.371819999942</v>
          </cell>
          <cell r="L62">
            <v>65125.749334818887</v>
          </cell>
          <cell r="M62">
            <v>-354100.06793545012</v>
          </cell>
          <cell r="N62">
            <v>-716539.01609475596</v>
          </cell>
          <cell r="O62">
            <v>-5585.5873416479862</v>
          </cell>
          <cell r="P62">
            <v>-164643.74114134914</v>
          </cell>
          <cell r="Q62">
            <v>57267.296637541753</v>
          </cell>
          <cell r="R62">
            <v>-54381.016681219495</v>
          </cell>
          <cell r="S62">
            <v>23546.760679384777</v>
          </cell>
        </row>
        <row r="63">
          <cell r="B63" t="str">
            <v>Effective icome tax rate</v>
          </cell>
          <cell r="D63">
            <v>-0.14895575221238944</v>
          </cell>
          <cell r="E63">
            <v>-0.15361367441622906</v>
          </cell>
          <cell r="F63">
            <v>-0.17990313393971719</v>
          </cell>
          <cell r="G63">
            <v>-5.3820738664098915E-2</v>
          </cell>
          <cell r="H63">
            <v>-0.15168358643420296</v>
          </cell>
          <cell r="I63">
            <v>-0.14385092372215474</v>
          </cell>
        </row>
        <row r="64">
          <cell r="B64" t="str">
            <v>EBITDA</v>
          </cell>
          <cell r="C64">
            <v>129527</v>
          </cell>
          <cell r="D64">
            <v>152281</v>
          </cell>
          <cell r="E64">
            <v>118948.53816000004</v>
          </cell>
          <cell r="F64">
            <v>194812.51418</v>
          </cell>
          <cell r="G64">
            <v>259927</v>
          </cell>
          <cell r="H64">
            <v>251886.09088330396</v>
          </cell>
          <cell r="I64">
            <v>223303.98694210005</v>
          </cell>
          <cell r="J64">
            <v>250030.40000000002</v>
          </cell>
          <cell r="K64">
            <v>322786.78018000006</v>
          </cell>
          <cell r="L64">
            <v>281755.15616669389</v>
          </cell>
          <cell r="M64">
            <v>211850.99999999997</v>
          </cell>
          <cell r="N64">
            <v>172322.01564673695</v>
          </cell>
          <cell r="O64">
            <v>223178.62281000006</v>
          </cell>
          <cell r="P64">
            <v>218961.79102399977</v>
          </cell>
          <cell r="Q64">
            <v>235683.98969631147</v>
          </cell>
          <cell r="R64">
            <v>57584.058216981</v>
          </cell>
          <cell r="S64">
            <v>50761.613519999919</v>
          </cell>
        </row>
        <row r="65">
          <cell r="B65" t="str">
            <v>EBITDA margin</v>
          </cell>
          <cell r="C65">
            <v>0.39794952778306902</v>
          </cell>
          <cell r="D65">
            <v>0.44671857032221729</v>
          </cell>
          <cell r="E65">
            <v>0.37306936817979136</v>
          </cell>
          <cell r="F65">
            <v>0.48139116909971846</v>
          </cell>
          <cell r="G65">
            <v>0.54448999428124945</v>
          </cell>
          <cell r="H65">
            <v>0.53613432169261654</v>
          </cell>
          <cell r="I65">
            <v>0.46536555644076943</v>
          </cell>
          <cell r="J65">
            <v>0.488751099556268</v>
          </cell>
          <cell r="K65">
            <v>0.56159040893391932</v>
          </cell>
          <cell r="L65">
            <v>0.64046616483534324</v>
          </cell>
          <cell r="M65">
            <v>0.48753573653449217</v>
          </cell>
          <cell r="N65">
            <v>0.40583169852946444</v>
          </cell>
          <cell r="O65">
            <v>0.45450340097637992</v>
          </cell>
          <cell r="P65">
            <v>0.44743593047851121</v>
          </cell>
          <cell r="Q65">
            <v>0.4289258544561394</v>
          </cell>
          <cell r="R65">
            <v>0.45034659979111352</v>
          </cell>
          <cell r="S65">
            <v>0.35888713139479766</v>
          </cell>
        </row>
        <row r="66">
          <cell r="B66" t="str">
            <v>Adjusted EBITDA</v>
          </cell>
          <cell r="C66">
            <v>128471</v>
          </cell>
          <cell r="D66">
            <v>140108</v>
          </cell>
          <cell r="E66">
            <v>124098.53816000004</v>
          </cell>
          <cell r="F66">
            <v>204422.44590999998</v>
          </cell>
          <cell r="G66">
            <v>260618</v>
          </cell>
          <cell r="H66">
            <v>247377.73890330395</v>
          </cell>
          <cell r="I66">
            <v>229382.88313000003</v>
          </cell>
          <cell r="J66">
            <v>251925.00000000003</v>
          </cell>
          <cell r="K66">
            <v>307827.78018000006</v>
          </cell>
          <cell r="L66">
            <v>195148.63896669389</v>
          </cell>
          <cell r="M66">
            <v>181424.99999999997</v>
          </cell>
          <cell r="N66">
            <v>156845.753326737</v>
          </cell>
          <cell r="O66">
            <v>216224.48968000006</v>
          </cell>
          <cell r="P66">
            <v>211741.39102399978</v>
          </cell>
          <cell r="Q66">
            <v>221802.69989688127</v>
          </cell>
          <cell r="R66">
            <v>56137.529261980999</v>
          </cell>
          <cell r="S66">
            <v>50036.135589999918</v>
          </cell>
        </row>
        <row r="67">
          <cell r="B67" t="str">
            <v>Adjusted EBITDA margin</v>
          </cell>
          <cell r="C67">
            <v>0.39470514860854228</v>
          </cell>
          <cell r="D67">
            <v>0.41100889441693461</v>
          </cell>
          <cell r="E67">
            <v>0.38922179237807397</v>
          </cell>
          <cell r="F67">
            <v>0.50513777639517576</v>
          </cell>
          <cell r="G67">
            <v>0.54593748756224114</v>
          </cell>
          <cell r="H67">
            <v>0.52653838798197472</v>
          </cell>
          <cell r="I67">
            <v>0.47803397739359932</v>
          </cell>
          <cell r="J67">
            <v>0.49245460054342521</v>
          </cell>
          <cell r="K67">
            <v>0.53556446412119241</v>
          </cell>
          <cell r="L67">
            <v>0.4435982718906849</v>
          </cell>
          <cell r="M67">
            <v>0.41751594753279542</v>
          </cell>
          <cell r="N67">
            <v>0.36938390164964618</v>
          </cell>
          <cell r="O67">
            <v>0.44034130463116539</v>
          </cell>
          <cell r="P67">
            <v>0.43268145492677929</v>
          </cell>
          <cell r="Q67">
            <v>0.40366302648107871</v>
          </cell>
          <cell r="R67">
            <v>0.43903375702603831</v>
          </cell>
          <cell r="S67">
            <v>0.35375796635977858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8" dT="2022-08-09T11:37:42.83" personId="{00000000-0000-0000-0000-000000000000}" id="{D7C10B30-2FE2-432A-8F58-AEE79D457BE2}">
    <text>მოიცავს Expenses of lost litigation ცალკე ხომ არ ჩავწეროთ?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showGridLines="0" tabSelected="1"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RowHeight="12" x14ac:dyDescent="0.2"/>
  <cols>
    <col min="1" max="1" width="9.140625" style="125"/>
    <col min="2" max="2" width="41.85546875" style="125" customWidth="1"/>
    <col min="3" max="4" width="9.140625" style="128" customWidth="1"/>
    <col min="5" max="12" width="9.140625" style="126" customWidth="1"/>
    <col min="13" max="13" width="10.85546875" style="126" customWidth="1"/>
    <col min="14" max="14" width="10.42578125" style="126" customWidth="1"/>
    <col min="15" max="17" width="11.42578125" style="126" customWidth="1"/>
    <col min="18" max="18" width="9.140625" style="125"/>
    <col min="19" max="19" width="9.85546875" style="125" bestFit="1" customWidth="1"/>
    <col min="20" max="16384" width="9.140625" style="125"/>
  </cols>
  <sheetData>
    <row r="1" spans="1:20" x14ac:dyDescent="0.2">
      <c r="A1" s="1"/>
      <c r="B1" s="1"/>
      <c r="C1" s="118"/>
      <c r="D1" s="118"/>
      <c r="E1" s="10"/>
      <c r="F1" s="10"/>
      <c r="G1" s="10"/>
      <c r="H1" s="10"/>
      <c r="I1" s="10"/>
      <c r="J1" s="10"/>
      <c r="K1" s="10"/>
      <c r="L1" s="10"/>
      <c r="M1" s="10"/>
      <c r="N1" s="10"/>
      <c r="O1" s="82"/>
      <c r="P1" s="82"/>
      <c r="Q1" s="82"/>
      <c r="R1" s="1"/>
      <c r="S1" s="1"/>
    </row>
    <row r="2" spans="1:20" ht="14.25" customHeight="1" x14ac:dyDescent="0.2">
      <c r="A2" s="1"/>
      <c r="B2" s="1"/>
      <c r="C2" s="144" t="s">
        <v>80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0" x14ac:dyDescent="0.2">
      <c r="A3" s="1"/>
      <c r="B3" s="2" t="s">
        <v>101</v>
      </c>
      <c r="C3" s="121">
        <v>2007</v>
      </c>
      <c r="D3" s="121">
        <v>2008</v>
      </c>
      <c r="E3" s="122">
        <v>2009</v>
      </c>
      <c r="F3" s="122">
        <v>2010</v>
      </c>
      <c r="G3" s="122">
        <v>2011</v>
      </c>
      <c r="H3" s="122">
        <v>2012</v>
      </c>
      <c r="I3" s="122">
        <v>2013</v>
      </c>
      <c r="J3" s="122">
        <v>2014</v>
      </c>
      <c r="K3" s="122">
        <v>2015</v>
      </c>
      <c r="L3" s="122">
        <v>2016</v>
      </c>
      <c r="M3" s="123">
        <v>2017</v>
      </c>
      <c r="N3" s="123">
        <v>2018</v>
      </c>
      <c r="O3" s="123">
        <v>2019</v>
      </c>
      <c r="P3" s="123">
        <v>2020</v>
      </c>
      <c r="Q3" s="80">
        <v>2021</v>
      </c>
      <c r="R3" s="80" t="s">
        <v>141</v>
      </c>
      <c r="S3" s="80" t="s">
        <v>142</v>
      </c>
    </row>
    <row r="4" spans="1:20" x14ac:dyDescent="0.2">
      <c r="A4" s="1"/>
      <c r="B4" s="3" t="s">
        <v>112</v>
      </c>
      <c r="C4" s="63">
        <v>248942.00000000003</v>
      </c>
      <c r="D4" s="63">
        <v>239512.64333999998</v>
      </c>
      <c r="E4" s="97">
        <v>238795.42206000001</v>
      </c>
      <c r="F4" s="97">
        <v>298013.68313000002</v>
      </c>
      <c r="G4" s="86">
        <v>348924.11386000004</v>
      </c>
      <c r="H4" s="86">
        <v>350866.02596999903</v>
      </c>
      <c r="I4" s="98">
        <v>364057</v>
      </c>
      <c r="J4" s="98">
        <v>382732</v>
      </c>
      <c r="K4" s="83">
        <v>392773.60125000001</v>
      </c>
      <c r="L4" s="83">
        <v>292612</v>
      </c>
      <c r="M4" s="83">
        <v>262771.5</v>
      </c>
      <c r="N4" s="83">
        <v>241313.41166973699</v>
      </c>
      <c r="O4" s="83">
        <v>308515.40000000002</v>
      </c>
      <c r="P4" s="83">
        <v>316452.44199999998</v>
      </c>
      <c r="Q4" s="83">
        <v>353929.4</v>
      </c>
      <c r="R4" s="83">
        <v>182044</v>
      </c>
      <c r="S4" s="83">
        <v>191155.07399999999</v>
      </c>
      <c r="T4" s="140"/>
    </row>
    <row r="5" spans="1:20" x14ac:dyDescent="0.2">
      <c r="A5" s="1"/>
      <c r="B5" s="3" t="s">
        <v>0</v>
      </c>
      <c r="C5" s="64">
        <v>41350</v>
      </c>
      <c r="D5" s="63">
        <v>55250.792659999992</v>
      </c>
      <c r="E5" s="97">
        <v>35354.167690000002</v>
      </c>
      <c r="F5" s="97">
        <v>56568.831049999979</v>
      </c>
      <c r="G5" s="86">
        <v>61990.886139999959</v>
      </c>
      <c r="H5" s="86">
        <v>50924.97403000202</v>
      </c>
      <c r="I5" s="98">
        <v>60529</v>
      </c>
      <c r="J5" s="98">
        <v>69049</v>
      </c>
      <c r="K5" s="99">
        <v>79177</v>
      </c>
      <c r="L5" s="99">
        <v>52974</v>
      </c>
      <c r="M5" s="83">
        <v>50188.5</v>
      </c>
      <c r="N5" s="83">
        <v>51650.489730000001</v>
      </c>
      <c r="O5" s="83">
        <v>65398</v>
      </c>
      <c r="P5" s="83">
        <v>72855.289999999994</v>
      </c>
      <c r="Q5" s="83">
        <v>69865.399999999994</v>
      </c>
      <c r="R5" s="83">
        <v>35505</v>
      </c>
      <c r="S5" s="83">
        <v>40201.326999999997</v>
      </c>
      <c r="T5" s="141"/>
    </row>
    <row r="6" spans="1:20" x14ac:dyDescent="0.2">
      <c r="A6" s="1"/>
      <c r="B6" s="3" t="s">
        <v>106</v>
      </c>
      <c r="C6" s="64" t="s">
        <v>108</v>
      </c>
      <c r="D6" s="64" t="s">
        <v>108</v>
      </c>
      <c r="E6" s="86" t="s">
        <v>108</v>
      </c>
      <c r="F6" s="86" t="s">
        <v>108</v>
      </c>
      <c r="G6" s="86" t="s">
        <v>108</v>
      </c>
      <c r="H6" s="86" t="s">
        <v>108</v>
      </c>
      <c r="I6" s="86" t="s">
        <v>108</v>
      </c>
      <c r="J6" s="86" t="s">
        <v>108</v>
      </c>
      <c r="K6" s="86">
        <v>56086</v>
      </c>
      <c r="L6" s="86">
        <v>52582</v>
      </c>
      <c r="M6" s="83">
        <v>73774</v>
      </c>
      <c r="N6" s="83">
        <v>70317.662509999995</v>
      </c>
      <c r="O6" s="83">
        <v>48814</v>
      </c>
      <c r="P6" s="83">
        <v>54105.764323999872</v>
      </c>
      <c r="Q6" s="83">
        <v>69370.529518748997</v>
      </c>
      <c r="R6" s="83">
        <v>34291</v>
      </c>
      <c r="S6" s="83">
        <v>61239.527590000005</v>
      </c>
      <c r="T6" s="140"/>
    </row>
    <row r="7" spans="1:20" x14ac:dyDescent="0.2">
      <c r="A7" s="1"/>
      <c r="B7" s="3" t="s">
        <v>11</v>
      </c>
      <c r="C7" s="63">
        <v>11520</v>
      </c>
      <c r="D7" s="63">
        <v>16590</v>
      </c>
      <c r="E7" s="97">
        <v>16543</v>
      </c>
      <c r="F7" s="97">
        <v>22302</v>
      </c>
      <c r="G7" s="86">
        <v>43957</v>
      </c>
      <c r="H7" s="86">
        <v>46382</v>
      </c>
      <c r="I7" s="98">
        <v>34308</v>
      </c>
      <c r="J7" s="98">
        <v>37811</v>
      </c>
      <c r="K7" s="83">
        <v>24261</v>
      </c>
      <c r="L7" s="83">
        <v>13948</v>
      </c>
      <c r="M7" s="83">
        <v>16780.3</v>
      </c>
      <c r="N7" s="83">
        <v>25361.675029999999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</row>
    <row r="8" spans="1:20" x14ac:dyDescent="0.2">
      <c r="A8" s="1"/>
      <c r="B8" s="81" t="s">
        <v>131</v>
      </c>
      <c r="C8" s="65">
        <v>0</v>
      </c>
      <c r="D8" s="65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16090</v>
      </c>
      <c r="P8" s="83">
        <v>8838</v>
      </c>
      <c r="Q8" s="83">
        <v>4647.4379799999997</v>
      </c>
      <c r="R8" s="83">
        <v>2406</v>
      </c>
      <c r="S8" s="83">
        <v>2889.7590099999998</v>
      </c>
    </row>
    <row r="9" spans="1:20" x14ac:dyDescent="0.2">
      <c r="A9" s="1"/>
      <c r="B9" s="81" t="s">
        <v>132</v>
      </c>
      <c r="C9" s="65">
        <v>0</v>
      </c>
      <c r="D9" s="65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14156</v>
      </c>
      <c r="P9" s="83">
        <v>14147.39827</v>
      </c>
      <c r="Q9" s="83">
        <v>9910.3441219999986</v>
      </c>
      <c r="R9" s="83">
        <v>5151</v>
      </c>
      <c r="S9" s="83">
        <v>3642.4872862000011</v>
      </c>
    </row>
    <row r="10" spans="1:20" x14ac:dyDescent="0.2">
      <c r="A10" s="1"/>
      <c r="B10" s="3" t="s">
        <v>113</v>
      </c>
      <c r="C10" s="63">
        <v>17165</v>
      </c>
      <c r="D10" s="63">
        <v>16615</v>
      </c>
      <c r="E10" s="97">
        <v>13952</v>
      </c>
      <c r="F10" s="97">
        <v>15667.999999999996</v>
      </c>
      <c r="G10" s="86">
        <v>15257</v>
      </c>
      <c r="H10" s="86">
        <v>17432</v>
      </c>
      <c r="I10" s="98">
        <v>18044.400000000001</v>
      </c>
      <c r="J10" s="98">
        <v>18317</v>
      </c>
      <c r="K10" s="83">
        <v>15487</v>
      </c>
      <c r="L10" s="83">
        <v>18007</v>
      </c>
      <c r="M10" s="83">
        <v>22844</v>
      </c>
      <c r="N10" s="83">
        <v>27403.903149999998</v>
      </c>
      <c r="O10" s="83">
        <v>31138</v>
      </c>
      <c r="P10" s="83">
        <v>11201.26124</v>
      </c>
      <c r="Q10" s="83">
        <v>14807.701289999999</v>
      </c>
      <c r="R10" s="83">
        <v>3892</v>
      </c>
      <c r="S10" s="83">
        <v>9841.6986699999979</v>
      </c>
    </row>
    <row r="11" spans="1:20" x14ac:dyDescent="0.2">
      <c r="A11" s="1"/>
      <c r="B11" s="4" t="s">
        <v>114</v>
      </c>
      <c r="C11" s="63">
        <v>4931</v>
      </c>
      <c r="D11" s="63">
        <v>3509.2939999999944</v>
      </c>
      <c r="E11" s="97">
        <v>3731</v>
      </c>
      <c r="F11" s="97">
        <v>7721</v>
      </c>
      <c r="G11" s="86">
        <v>7248</v>
      </c>
      <c r="H11" s="86">
        <v>4214</v>
      </c>
      <c r="I11" s="100">
        <v>2908</v>
      </c>
      <c r="J11" s="100">
        <v>3661</v>
      </c>
      <c r="K11" s="83">
        <v>6988</v>
      </c>
      <c r="L11" s="83">
        <v>9799</v>
      </c>
      <c r="M11" s="101">
        <v>8176</v>
      </c>
      <c r="N11" s="101">
        <v>8567.3379303000002</v>
      </c>
      <c r="O11" s="83">
        <v>6927</v>
      </c>
      <c r="P11" s="83">
        <v>11770</v>
      </c>
      <c r="Q11" s="83">
        <v>25337</v>
      </c>
      <c r="R11" s="83">
        <v>14338</v>
      </c>
      <c r="S11" s="83">
        <v>2132.6989100000001</v>
      </c>
    </row>
    <row r="12" spans="1:20" x14ac:dyDescent="0.2">
      <c r="A12" s="1"/>
      <c r="B12" s="4" t="s">
        <v>115</v>
      </c>
      <c r="C12" s="63">
        <v>1578</v>
      </c>
      <c r="D12" s="63">
        <v>9410.27</v>
      </c>
      <c r="E12" s="97">
        <v>10462</v>
      </c>
      <c r="F12" s="97">
        <v>4413</v>
      </c>
      <c r="G12" s="86">
        <v>0</v>
      </c>
      <c r="H12" s="86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</row>
    <row r="13" spans="1:20" x14ac:dyDescent="0.2">
      <c r="A13" s="1"/>
      <c r="B13" s="5" t="s">
        <v>90</v>
      </c>
      <c r="C13" s="66">
        <f t="shared" ref="C13:I13" si="0">SUM(C4:C12)</f>
        <v>325486</v>
      </c>
      <c r="D13" s="66">
        <f t="shared" si="0"/>
        <v>340888</v>
      </c>
      <c r="E13" s="88">
        <f t="shared" si="0"/>
        <v>318837.58975000004</v>
      </c>
      <c r="F13" s="88">
        <f t="shared" si="0"/>
        <v>404686.51418</v>
      </c>
      <c r="G13" s="88">
        <f t="shared" si="0"/>
        <v>477377</v>
      </c>
      <c r="H13" s="88">
        <f t="shared" si="0"/>
        <v>469819.00000000105</v>
      </c>
      <c r="I13" s="88">
        <f t="shared" si="0"/>
        <v>479846.40000000002</v>
      </c>
      <c r="J13" s="88">
        <f t="shared" ref="J13:M13" si="1">SUM(J4:J12)</f>
        <v>511570</v>
      </c>
      <c r="K13" s="84">
        <f t="shared" si="1"/>
        <v>574772.60125000007</v>
      </c>
      <c r="L13" s="84">
        <f t="shared" si="1"/>
        <v>439922</v>
      </c>
      <c r="M13" s="84">
        <f t="shared" si="1"/>
        <v>434534.3</v>
      </c>
      <c r="N13" s="84">
        <f t="shared" ref="N13:O13" si="2">SUM(N4:N12)</f>
        <v>424614.48002003698</v>
      </c>
      <c r="O13" s="84">
        <f t="shared" si="2"/>
        <v>491038.4</v>
      </c>
      <c r="P13" s="84">
        <f>SUM(P4:P12)</f>
        <v>489370.15583399986</v>
      </c>
      <c r="Q13" s="84">
        <f>SUM(Q4:Q12)</f>
        <v>547867.81291074899</v>
      </c>
      <c r="R13" s="84">
        <f>SUM(R4:R12)</f>
        <v>277627</v>
      </c>
      <c r="S13" s="84">
        <f>SUM(S4:S12)</f>
        <v>311102.57246619993</v>
      </c>
      <c r="T13" s="143"/>
    </row>
    <row r="14" spans="1:20" x14ac:dyDescent="0.2">
      <c r="A14" s="1"/>
      <c r="B14" s="5" t="s">
        <v>126</v>
      </c>
      <c r="C14" s="68">
        <v>0</v>
      </c>
      <c r="D14" s="68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85">
        <v>7503</v>
      </c>
      <c r="L14" s="85">
        <v>80294</v>
      </c>
      <c r="M14" s="85">
        <v>23417</v>
      </c>
      <c r="N14" s="85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</row>
    <row r="15" spans="1:20" x14ac:dyDescent="0.2">
      <c r="A15" s="1"/>
      <c r="B15" s="4" t="s">
        <v>1</v>
      </c>
      <c r="C15" s="63">
        <v>6509</v>
      </c>
      <c r="D15" s="63">
        <v>3213.9999999999995</v>
      </c>
      <c r="E15" s="97">
        <v>6538.0000000000009</v>
      </c>
      <c r="F15" s="97">
        <v>7087.9317300000002</v>
      </c>
      <c r="G15" s="86">
        <v>8622</v>
      </c>
      <c r="H15" s="86">
        <v>12660</v>
      </c>
      <c r="I15" s="86">
        <v>15547.483129999995</v>
      </c>
      <c r="J15" s="86">
        <v>10390</v>
      </c>
      <c r="K15" s="104">
        <v>13293.115929999998</v>
      </c>
      <c r="L15" s="104">
        <v>12165</v>
      </c>
      <c r="M15" s="87">
        <v>7748</v>
      </c>
      <c r="N15" s="86">
        <v>2785.7098399999995</v>
      </c>
      <c r="O15" s="86">
        <v>4766.9728000000005</v>
      </c>
      <c r="P15" s="86">
        <v>3091.0172300000004</v>
      </c>
      <c r="Q15" s="86">
        <v>3391</v>
      </c>
      <c r="R15" s="86">
        <v>1250.7006100000001</v>
      </c>
      <c r="S15" s="86">
        <v>2084.4074500000002</v>
      </c>
    </row>
    <row r="16" spans="1:20" x14ac:dyDescent="0.2">
      <c r="A16" s="1"/>
      <c r="B16" s="4" t="s">
        <v>116</v>
      </c>
      <c r="C16" s="63">
        <v>0</v>
      </c>
      <c r="D16" s="63">
        <v>0</v>
      </c>
      <c r="E16" s="97">
        <v>0</v>
      </c>
      <c r="F16" s="97">
        <v>4279.1807399999989</v>
      </c>
      <c r="G16" s="86">
        <v>0</v>
      </c>
      <c r="H16" s="86">
        <v>0</v>
      </c>
      <c r="I16" s="86">
        <v>0</v>
      </c>
      <c r="J16" s="86">
        <v>0</v>
      </c>
      <c r="K16" s="105">
        <v>0</v>
      </c>
      <c r="L16" s="105">
        <v>0</v>
      </c>
      <c r="M16" s="86">
        <v>0</v>
      </c>
      <c r="N16" s="86">
        <v>0</v>
      </c>
      <c r="O16" s="86">
        <v>0</v>
      </c>
      <c r="P16" s="86">
        <v>0</v>
      </c>
      <c r="Q16" s="83">
        <v>0</v>
      </c>
      <c r="R16" s="83"/>
      <c r="S16" s="83">
        <v>0</v>
      </c>
    </row>
    <row r="17" spans="1:19" x14ac:dyDescent="0.2">
      <c r="A17" s="1"/>
      <c r="B17" s="4" t="s">
        <v>2</v>
      </c>
      <c r="C17" s="63">
        <v>3055</v>
      </c>
      <c r="D17" s="63">
        <v>15500</v>
      </c>
      <c r="E17" s="97">
        <v>4140</v>
      </c>
      <c r="F17" s="97">
        <v>6450.88753</v>
      </c>
      <c r="G17" s="86">
        <v>3403</v>
      </c>
      <c r="H17" s="86">
        <v>19293</v>
      </c>
      <c r="I17" s="86">
        <v>-95.896187899990906</v>
      </c>
      <c r="J17" s="86">
        <v>1963.4</v>
      </c>
      <c r="K17" s="104">
        <v>9975</v>
      </c>
      <c r="L17" s="104">
        <v>6957</v>
      </c>
      <c r="M17" s="87">
        <v>7812</v>
      </c>
      <c r="N17" s="87">
        <v>16726.262319999958</v>
      </c>
      <c r="O17" s="87">
        <v>7984.1331300000038</v>
      </c>
      <c r="P17" s="87">
        <v>9456</v>
      </c>
      <c r="Q17" s="87">
        <v>5560</v>
      </c>
      <c r="R17" s="87">
        <v>2244.5331000000006</v>
      </c>
      <c r="S17" s="87">
        <v>8563.3686299999899</v>
      </c>
    </row>
    <row r="18" spans="1:19" x14ac:dyDescent="0.2">
      <c r="A18" s="1"/>
      <c r="B18" s="5" t="s">
        <v>91</v>
      </c>
      <c r="C18" s="70">
        <f>SUM(C15:C17)</f>
        <v>9564</v>
      </c>
      <c r="D18" s="70">
        <f>SUM(D15:D17)</f>
        <v>18714</v>
      </c>
      <c r="E18" s="106">
        <f t="shared" ref="E18:K18" si="3">SUM(E15:E17)</f>
        <v>10678</v>
      </c>
      <c r="F18" s="106">
        <f t="shared" si="3"/>
        <v>17818</v>
      </c>
      <c r="G18" s="88">
        <f t="shared" si="3"/>
        <v>12025</v>
      </c>
      <c r="H18" s="88">
        <f t="shared" si="3"/>
        <v>31953</v>
      </c>
      <c r="I18" s="88">
        <f t="shared" si="3"/>
        <v>15451.586942100004</v>
      </c>
      <c r="J18" s="88">
        <f t="shared" si="3"/>
        <v>12353.4</v>
      </c>
      <c r="K18" s="88">
        <f t="shared" si="3"/>
        <v>23268.11593</v>
      </c>
      <c r="L18" s="88">
        <f t="shared" ref="L18:O18" si="4">SUM(L15:L17)</f>
        <v>19122</v>
      </c>
      <c r="M18" s="88">
        <f t="shared" si="4"/>
        <v>15560</v>
      </c>
      <c r="N18" s="88">
        <f t="shared" si="4"/>
        <v>19511.972159999958</v>
      </c>
      <c r="O18" s="88">
        <f t="shared" si="4"/>
        <v>12751.105930000005</v>
      </c>
      <c r="P18" s="88">
        <f>SUM(P15:P17)</f>
        <v>12547.017230000001</v>
      </c>
      <c r="Q18" s="88">
        <f>SUM(Q15:Q17)</f>
        <v>8951</v>
      </c>
      <c r="R18" s="88">
        <f>SUM(R15:R17)</f>
        <v>3495.2337100000004</v>
      </c>
      <c r="S18" s="88">
        <f>SUM(S15:S17)</f>
        <v>10647.776079999991</v>
      </c>
    </row>
    <row r="19" spans="1:19" x14ac:dyDescent="0.2">
      <c r="A19" s="65"/>
      <c r="B19" s="6"/>
      <c r="C19" s="63"/>
      <c r="D19" s="63"/>
      <c r="E19" s="97"/>
      <c r="F19" s="97"/>
      <c r="G19" s="107"/>
      <c r="H19" s="107"/>
      <c r="I19" s="107"/>
      <c r="J19" s="107"/>
      <c r="K19" s="10"/>
      <c r="L19" s="83"/>
      <c r="M19" s="108"/>
      <c r="N19" s="89"/>
      <c r="O19" s="89"/>
      <c r="P19" s="89"/>
      <c r="Q19" s="89"/>
      <c r="R19" s="89"/>
      <c r="S19" s="89"/>
    </row>
    <row r="20" spans="1:19" x14ac:dyDescent="0.2">
      <c r="A20" s="1"/>
      <c r="B20" s="5" t="s">
        <v>127</v>
      </c>
      <c r="C20" s="63">
        <v>0</v>
      </c>
      <c r="D20" s="63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0">
        <v>-382616</v>
      </c>
      <c r="N20" s="90">
        <v>-691387</v>
      </c>
      <c r="O20" s="90">
        <v>0</v>
      </c>
      <c r="P20" s="83">
        <v>0</v>
      </c>
      <c r="Q20" s="83">
        <v>0</v>
      </c>
      <c r="R20" s="83">
        <f>VLOOKUP(B20,'[1]P&amp;L'!B$4:S$67,17,)</f>
        <v>0</v>
      </c>
      <c r="S20" s="83">
        <f>VLOOKUP(C20,'[1]P&amp;L'!C$4:T$67,17,)</f>
        <v>0</v>
      </c>
    </row>
    <row r="21" spans="1:19" x14ac:dyDescent="0.2">
      <c r="A21" s="1"/>
      <c r="B21" s="5" t="s">
        <v>92</v>
      </c>
      <c r="C21" s="70">
        <v>-105307</v>
      </c>
      <c r="D21" s="70">
        <v>-108747</v>
      </c>
      <c r="E21" s="106">
        <v>-106113</v>
      </c>
      <c r="F21" s="106">
        <v>-111257</v>
      </c>
      <c r="G21" s="109">
        <v>-108493</v>
      </c>
      <c r="H21" s="88">
        <v>-108467</v>
      </c>
      <c r="I21" s="88">
        <v>-133509</v>
      </c>
      <c r="J21" s="88">
        <v>-145174</v>
      </c>
      <c r="K21" s="84">
        <v>-148624.53599999999</v>
      </c>
      <c r="L21" s="84">
        <v>-146626.17303330617</v>
      </c>
      <c r="M21" s="84">
        <v>-148302</v>
      </c>
      <c r="N21" s="84">
        <v>-154338.38369999995</v>
      </c>
      <c r="O21" s="84">
        <v>-160561.48311999999</v>
      </c>
      <c r="P21" s="84">
        <v>-170502.46343999999</v>
      </c>
      <c r="Q21" s="84">
        <v>-180701.4</v>
      </c>
      <c r="R21" s="84">
        <v>-84626.169789999985</v>
      </c>
      <c r="S21" s="84">
        <v>-97380.352699999989</v>
      </c>
    </row>
    <row r="22" spans="1:19" x14ac:dyDescent="0.2">
      <c r="A22" s="1"/>
      <c r="B22" s="5" t="s">
        <v>3</v>
      </c>
      <c r="C22" s="66">
        <v>-106658</v>
      </c>
      <c r="D22" s="66">
        <v>-98884.999999999985</v>
      </c>
      <c r="E22" s="88">
        <v>-96111</v>
      </c>
      <c r="F22" s="88">
        <v>-98749</v>
      </c>
      <c r="G22" s="88">
        <v>-92137</v>
      </c>
      <c r="H22" s="88">
        <v>-97082</v>
      </c>
      <c r="I22" s="88">
        <v>-101927</v>
      </c>
      <c r="J22" s="88">
        <v>-105258</v>
      </c>
      <c r="K22" s="84">
        <v>-104416.45</v>
      </c>
      <c r="L22" s="84">
        <v>-106267.40683187498</v>
      </c>
      <c r="M22" s="84">
        <v>-109702.66793545007</v>
      </c>
      <c r="N22" s="84">
        <v>-113804.157538114</v>
      </c>
      <c r="O22" s="84">
        <v>-81234.702628384475</v>
      </c>
      <c r="P22" s="84">
        <v>-76155.804615348898</v>
      </c>
      <c r="Q22" s="84">
        <v>-58397</v>
      </c>
      <c r="R22" s="84">
        <v>-34999</v>
      </c>
      <c r="S22" s="84">
        <v>-33176.871653854032</v>
      </c>
    </row>
    <row r="23" spans="1:19" x14ac:dyDescent="0.2">
      <c r="A23" s="1"/>
      <c r="B23" s="5" t="s">
        <v>107</v>
      </c>
      <c r="C23" s="66">
        <f>SUM(C24:C27)</f>
        <v>-64707</v>
      </c>
      <c r="D23" s="66">
        <f t="shared" ref="D23:M23" si="5">SUM(D24:D27)</f>
        <v>-56460</v>
      </c>
      <c r="E23" s="88">
        <f t="shared" si="5"/>
        <v>-49491.051590000003</v>
      </c>
      <c r="F23" s="88">
        <f t="shared" si="5"/>
        <v>-49629</v>
      </c>
      <c r="G23" s="88">
        <f t="shared" si="5"/>
        <v>-58863</v>
      </c>
      <c r="H23" s="88">
        <f t="shared" si="5"/>
        <v>-60702.261096697097</v>
      </c>
      <c r="I23" s="88">
        <f t="shared" si="5"/>
        <v>-59716</v>
      </c>
      <c r="J23" s="88">
        <f t="shared" si="5"/>
        <v>-57240</v>
      </c>
      <c r="K23" s="88">
        <f t="shared" si="5"/>
        <v>-60927.400999999998</v>
      </c>
      <c r="L23" s="88">
        <f t="shared" si="5"/>
        <v>-47289</v>
      </c>
      <c r="M23" s="88">
        <f t="shared" si="5"/>
        <v>-41490.400000000001</v>
      </c>
      <c r="N23" s="88">
        <f t="shared" ref="N23:O23" si="6">SUM(N24:N27)</f>
        <v>-43707.972553299995</v>
      </c>
      <c r="O23" s="88">
        <f t="shared" si="6"/>
        <v>-47921</v>
      </c>
      <c r="P23" s="88">
        <f>SUM(P24:P27)</f>
        <v>-41410.806160000007</v>
      </c>
      <c r="Q23" s="88">
        <f>SUM(Q24:Q27)</f>
        <v>-54567.312319999997</v>
      </c>
      <c r="R23" s="88">
        <f>SUM(R24:R27)</f>
        <v>-21643.600000000002</v>
      </c>
      <c r="S23" s="88">
        <f>SUM(S24:S27)</f>
        <v>-35784.512849999999</v>
      </c>
    </row>
    <row r="24" spans="1:19" x14ac:dyDescent="0.2">
      <c r="A24" s="1"/>
      <c r="B24" s="4" t="s">
        <v>4</v>
      </c>
      <c r="C24" s="64">
        <v>-18192</v>
      </c>
      <c r="D24" s="64">
        <v>-22319</v>
      </c>
      <c r="E24" s="86">
        <v>-19310.514590000002</v>
      </c>
      <c r="F24" s="86">
        <v>-21386</v>
      </c>
      <c r="G24" s="86">
        <v>-24180</v>
      </c>
      <c r="H24" s="86">
        <v>-23127</v>
      </c>
      <c r="I24" s="86">
        <v>-21236</v>
      </c>
      <c r="J24" s="86">
        <v>-20091</v>
      </c>
      <c r="K24" s="87">
        <v>-20424.170999999998</v>
      </c>
      <c r="L24" s="87">
        <v>-21687</v>
      </c>
      <c r="M24" s="87">
        <v>-20868.400000000001</v>
      </c>
      <c r="N24" s="87">
        <v>-20962</v>
      </c>
      <c r="O24" s="87">
        <v>-22069</v>
      </c>
      <c r="P24" s="87">
        <v>-19519</v>
      </c>
      <c r="Q24" s="87">
        <v>-30857.4</v>
      </c>
      <c r="R24" s="87">
        <v>-11768.5</v>
      </c>
      <c r="S24" s="87">
        <v>-22360.772199999999</v>
      </c>
    </row>
    <row r="25" spans="1:19" x14ac:dyDescent="0.2">
      <c r="A25" s="1"/>
      <c r="B25" s="4" t="s">
        <v>5</v>
      </c>
      <c r="C25" s="64">
        <v>-24662</v>
      </c>
      <c r="D25" s="64">
        <v>-11793</v>
      </c>
      <c r="E25" s="86">
        <v>-13345.137000000001</v>
      </c>
      <c r="F25" s="86">
        <v>-13565</v>
      </c>
      <c r="G25" s="86">
        <v>-13849</v>
      </c>
      <c r="H25" s="86">
        <v>-20758.261096697101</v>
      </c>
      <c r="I25" s="86">
        <v>-19770</v>
      </c>
      <c r="J25" s="86">
        <v>-19280</v>
      </c>
      <c r="K25" s="87">
        <v>-19275.973000000002</v>
      </c>
      <c r="L25" s="87">
        <v>-14121</v>
      </c>
      <c r="M25" s="87">
        <v>-11565</v>
      </c>
      <c r="N25" s="87">
        <v>-11928.544413299998</v>
      </c>
      <c r="O25" s="87">
        <v>-12135</v>
      </c>
      <c r="P25" s="87">
        <v>-10306.149170000001</v>
      </c>
      <c r="Q25" s="87">
        <v>-12103</v>
      </c>
      <c r="R25" s="87">
        <v>-5530</v>
      </c>
      <c r="S25" s="87">
        <v>-5396.884750000002</v>
      </c>
    </row>
    <row r="26" spans="1:19" x14ac:dyDescent="0.2">
      <c r="A26" s="1"/>
      <c r="B26" s="4" t="s">
        <v>6</v>
      </c>
      <c r="C26" s="64">
        <v>-9530</v>
      </c>
      <c r="D26" s="64">
        <v>-11775</v>
      </c>
      <c r="E26" s="86">
        <v>-7659.4</v>
      </c>
      <c r="F26" s="86">
        <v>-9669</v>
      </c>
      <c r="G26" s="86">
        <v>-9734</v>
      </c>
      <c r="H26" s="86">
        <v>-9088</v>
      </c>
      <c r="I26" s="86">
        <v>-8160</v>
      </c>
      <c r="J26" s="86">
        <v>-7868</v>
      </c>
      <c r="K26" s="87">
        <v>-5806.991</v>
      </c>
      <c r="L26" s="87">
        <v>-4306</v>
      </c>
      <c r="M26" s="87">
        <v>-5237</v>
      </c>
      <c r="N26" s="87">
        <v>-6704.2748800000008</v>
      </c>
      <c r="O26" s="87">
        <v>-7023</v>
      </c>
      <c r="P26" s="87">
        <v>-6184</v>
      </c>
      <c r="Q26" s="87">
        <v>-6544.8707999999997</v>
      </c>
      <c r="R26" s="87">
        <v>-2861.4</v>
      </c>
      <c r="S26" s="87">
        <v>-4469.5164999999997</v>
      </c>
    </row>
    <row r="27" spans="1:19" x14ac:dyDescent="0.2">
      <c r="A27" s="1"/>
      <c r="B27" s="4" t="s">
        <v>117</v>
      </c>
      <c r="C27" s="64">
        <v>-12323</v>
      </c>
      <c r="D27" s="64">
        <v>-10573</v>
      </c>
      <c r="E27" s="86">
        <v>-9176</v>
      </c>
      <c r="F27" s="86">
        <v>-5009</v>
      </c>
      <c r="G27" s="86">
        <v>-11100</v>
      </c>
      <c r="H27" s="86">
        <v>-7729</v>
      </c>
      <c r="I27" s="86">
        <v>-10550</v>
      </c>
      <c r="J27" s="86">
        <v>-10001</v>
      </c>
      <c r="K27" s="87">
        <v>-15420.266</v>
      </c>
      <c r="L27" s="87">
        <v>-7175</v>
      </c>
      <c r="M27" s="87">
        <v>-3820</v>
      </c>
      <c r="N27" s="87">
        <v>-4113.15326</v>
      </c>
      <c r="O27" s="87">
        <v>-6694</v>
      </c>
      <c r="P27" s="87">
        <v>-5401.6569900000004</v>
      </c>
      <c r="Q27" s="87">
        <v>-5062.0415200000007</v>
      </c>
      <c r="R27" s="87">
        <v>-1483.7</v>
      </c>
      <c r="S27" s="87">
        <v>-3557.3393999999998</v>
      </c>
    </row>
    <row r="28" spans="1:19" x14ac:dyDescent="0.2">
      <c r="A28" s="1"/>
      <c r="B28" s="5" t="s">
        <v>143</v>
      </c>
      <c r="C28" s="64"/>
      <c r="D28" s="64"/>
      <c r="E28" s="86"/>
      <c r="F28" s="86"/>
      <c r="G28" s="86"/>
      <c r="H28" s="86"/>
      <c r="I28" s="86"/>
      <c r="J28" s="86"/>
      <c r="K28" s="87"/>
      <c r="L28" s="87"/>
      <c r="M28" s="91">
        <v>-12115</v>
      </c>
      <c r="N28" s="91">
        <v>-12017</v>
      </c>
      <c r="O28" s="91">
        <v>-33728.664903263598</v>
      </c>
      <c r="P28" s="91">
        <v>-13559.5</v>
      </c>
      <c r="Q28" s="91">
        <v>-2790.65559723354</v>
      </c>
      <c r="R28" s="91">
        <v>-485.4</v>
      </c>
      <c r="S28" s="91">
        <v>3697.8299199999792</v>
      </c>
    </row>
    <row r="29" spans="1:19" x14ac:dyDescent="0.2">
      <c r="A29" s="1"/>
      <c r="B29" s="5" t="s">
        <v>7</v>
      </c>
      <c r="C29" s="66">
        <f t="shared" ref="C29:L29" si="7">SUM(C30:C39)</f>
        <v>-35509</v>
      </c>
      <c r="D29" s="66">
        <f>SUM(D30:D39)</f>
        <v>-42114</v>
      </c>
      <c r="E29" s="88">
        <f t="shared" si="7"/>
        <v>-54963</v>
      </c>
      <c r="F29" s="88">
        <f t="shared" si="7"/>
        <v>-66806</v>
      </c>
      <c r="G29" s="88">
        <f t="shared" si="7"/>
        <v>-62119</v>
      </c>
      <c r="H29" s="88">
        <f t="shared" si="7"/>
        <v>-80716.648019999993</v>
      </c>
      <c r="I29" s="88">
        <f t="shared" si="7"/>
        <v>-78769</v>
      </c>
      <c r="J29" s="88">
        <f t="shared" si="7"/>
        <v>-71479</v>
      </c>
      <c r="K29" s="84">
        <f>SUM(K30:K39)</f>
        <v>-73205</v>
      </c>
      <c r="L29" s="84">
        <f t="shared" si="7"/>
        <v>-63667.6708</v>
      </c>
      <c r="M29" s="84">
        <f t="shared" ref="M29:O29" si="8">SUM(M30:M39)</f>
        <v>-71867.899999999994</v>
      </c>
      <c r="N29" s="84">
        <f t="shared" si="8"/>
        <v>-73758.080279999995</v>
      </c>
      <c r="O29" s="84">
        <f t="shared" si="8"/>
        <v>-72128.399999999994</v>
      </c>
      <c r="P29" s="84">
        <f>SUM(P30:P39)</f>
        <v>-71042.112440000128</v>
      </c>
      <c r="Q29" s="84">
        <f>SUM(Q30:Q39)</f>
        <v>-94974.573937160807</v>
      </c>
      <c r="R29" s="84">
        <f>SUM(R30:R39)</f>
        <v>-46152.9</v>
      </c>
      <c r="S29" s="84">
        <f>SUM(S30:S39)</f>
        <v>-56406.738316700052</v>
      </c>
    </row>
    <row r="30" spans="1:19" x14ac:dyDescent="0.2">
      <c r="A30" s="1"/>
      <c r="B30" s="4" t="s">
        <v>96</v>
      </c>
      <c r="C30" s="64">
        <v>-7527</v>
      </c>
      <c r="D30" s="64">
        <v>-3632.9999999999995</v>
      </c>
      <c r="E30" s="86">
        <v>-16591</v>
      </c>
      <c r="F30" s="86">
        <v>-16276.999999999998</v>
      </c>
      <c r="G30" s="86">
        <v>-17658</v>
      </c>
      <c r="H30" s="86">
        <v>-20729</v>
      </c>
      <c r="I30" s="86">
        <v>-23554</v>
      </c>
      <c r="J30" s="86">
        <v>-24384</v>
      </c>
      <c r="K30" s="87">
        <v>-25969</v>
      </c>
      <c r="L30" s="87">
        <v>-26474.187999999998</v>
      </c>
      <c r="M30" s="87">
        <v>-27043.4</v>
      </c>
      <c r="N30" s="87">
        <v>-26813</v>
      </c>
      <c r="O30" s="87">
        <v>-22225</v>
      </c>
      <c r="P30" s="87">
        <v>-23937.950830000002</v>
      </c>
      <c r="Q30" s="87">
        <v>-30458.270439999997</v>
      </c>
      <c r="R30" s="87">
        <v>-11943.5</v>
      </c>
      <c r="S30" s="87">
        <v>-11952.007860000002</v>
      </c>
    </row>
    <row r="31" spans="1:19" x14ac:dyDescent="0.2">
      <c r="A31" s="1"/>
      <c r="B31" s="4" t="s">
        <v>8</v>
      </c>
      <c r="C31" s="64">
        <v>0</v>
      </c>
      <c r="D31" s="64">
        <v>0</v>
      </c>
      <c r="E31" s="86">
        <v>-6622</v>
      </c>
      <c r="F31" s="86">
        <v>-4831</v>
      </c>
      <c r="G31" s="86">
        <v>-4094</v>
      </c>
      <c r="H31" s="86">
        <v>-5853.6480199999996</v>
      </c>
      <c r="I31" s="86">
        <v>-296</v>
      </c>
      <c r="J31" s="86">
        <v>0</v>
      </c>
      <c r="K31" s="87">
        <v>-164</v>
      </c>
      <c r="L31" s="87">
        <v>-254.48280000000003</v>
      </c>
      <c r="M31" s="87">
        <v>-803</v>
      </c>
      <c r="N31" s="87">
        <v>-1250</v>
      </c>
      <c r="O31" s="87">
        <v>-1030</v>
      </c>
      <c r="P31" s="87">
        <v>-2235.6</v>
      </c>
      <c r="Q31" s="87">
        <v>-1874.1280400000001</v>
      </c>
      <c r="R31" s="87">
        <v>-327</v>
      </c>
      <c r="S31" s="87">
        <v>-947.49259999999981</v>
      </c>
    </row>
    <row r="32" spans="1:19" x14ac:dyDescent="0.2">
      <c r="A32" s="1"/>
      <c r="B32" s="4" t="s">
        <v>9</v>
      </c>
      <c r="C32" s="64">
        <v>0</v>
      </c>
      <c r="D32" s="64">
        <v>0</v>
      </c>
      <c r="E32" s="86">
        <v>0</v>
      </c>
      <c r="F32" s="86">
        <v>0</v>
      </c>
      <c r="G32" s="86">
        <v>0</v>
      </c>
      <c r="H32" s="86">
        <v>-8931</v>
      </c>
      <c r="I32" s="86">
        <v>-5687</v>
      </c>
      <c r="J32" s="86">
        <v>-3858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</row>
    <row r="33" spans="1:21" x14ac:dyDescent="0.2">
      <c r="A33" s="1"/>
      <c r="B33" s="4" t="s">
        <v>10</v>
      </c>
      <c r="C33" s="64">
        <v>-15333</v>
      </c>
      <c r="D33" s="64">
        <v>-19337</v>
      </c>
      <c r="E33" s="86">
        <v>-15587.999999999998</v>
      </c>
      <c r="F33" s="86">
        <v>-17532</v>
      </c>
      <c r="G33" s="86">
        <v>-16967</v>
      </c>
      <c r="H33" s="86">
        <v>-20165</v>
      </c>
      <c r="I33" s="86">
        <v>-27387</v>
      </c>
      <c r="J33" s="86">
        <v>-23245</v>
      </c>
      <c r="K33" s="87">
        <v>-8734</v>
      </c>
      <c r="L33" s="87">
        <v>-8928</v>
      </c>
      <c r="M33" s="87">
        <v>-8918</v>
      </c>
      <c r="N33" s="87">
        <v>-9208.5802800000001</v>
      </c>
      <c r="O33" s="87">
        <v>-9246</v>
      </c>
      <c r="P33" s="87">
        <v>-9916.7000000000007</v>
      </c>
      <c r="Q33" s="87">
        <v>-9731</v>
      </c>
      <c r="R33" s="87">
        <v>-4845.5</v>
      </c>
      <c r="S33" s="87">
        <v>-4863.3959900000009</v>
      </c>
    </row>
    <row r="34" spans="1:21" x14ac:dyDescent="0.2">
      <c r="A34" s="1"/>
      <c r="B34" s="4" t="s">
        <v>132</v>
      </c>
      <c r="C34" s="64">
        <v>-9371</v>
      </c>
      <c r="D34" s="64">
        <v>-10746</v>
      </c>
      <c r="E34" s="86">
        <v>-6378</v>
      </c>
      <c r="F34" s="86">
        <v>-9046</v>
      </c>
      <c r="G34" s="86">
        <v>-23400</v>
      </c>
      <c r="H34" s="86">
        <v>-25038</v>
      </c>
      <c r="I34" s="86">
        <v>-21845</v>
      </c>
      <c r="J34" s="86">
        <v>-19992</v>
      </c>
      <c r="K34" s="87">
        <v>-11210</v>
      </c>
      <c r="L34" s="87">
        <v>-4407</v>
      </c>
      <c r="M34" s="87">
        <v>-4094.5</v>
      </c>
      <c r="N34" s="87">
        <v>-4177</v>
      </c>
      <c r="O34" s="87">
        <v>-3780</v>
      </c>
      <c r="P34" s="87">
        <v>-3688.1096499999999</v>
      </c>
      <c r="Q34" s="87">
        <v>-4064.7903871999997</v>
      </c>
      <c r="R34" s="87">
        <v>-2627</v>
      </c>
      <c r="S34" s="87">
        <v>-2598.8996566999999</v>
      </c>
    </row>
    <row r="35" spans="1:21" x14ac:dyDescent="0.2">
      <c r="A35" s="1"/>
      <c r="B35" s="3" t="s">
        <v>106</v>
      </c>
      <c r="C35" s="64" t="s">
        <v>108</v>
      </c>
      <c r="D35" s="64" t="s">
        <v>108</v>
      </c>
      <c r="E35" s="86" t="s">
        <v>108</v>
      </c>
      <c r="F35" s="86" t="s">
        <v>108</v>
      </c>
      <c r="G35" s="86" t="s">
        <v>108</v>
      </c>
      <c r="H35" s="86" t="s">
        <v>108</v>
      </c>
      <c r="I35" s="86" t="s">
        <v>108</v>
      </c>
      <c r="J35" s="86" t="s">
        <v>108</v>
      </c>
      <c r="K35" s="86">
        <v>-17197</v>
      </c>
      <c r="L35" s="86">
        <v>-14270</v>
      </c>
      <c r="M35" s="86">
        <v>-12996</v>
      </c>
      <c r="N35" s="86">
        <v>-17635.5</v>
      </c>
      <c r="O35" s="86">
        <v>-20182</v>
      </c>
      <c r="P35" s="86">
        <v>-21105.292150000092</v>
      </c>
      <c r="Q35" s="86">
        <v>-32918.385069960801</v>
      </c>
      <c r="R35" s="86">
        <v>-16515.400000000001</v>
      </c>
      <c r="S35" s="86">
        <v>-30840.530609999994</v>
      </c>
      <c r="T35" s="143"/>
      <c r="U35" s="141"/>
    </row>
    <row r="36" spans="1:21" x14ac:dyDescent="0.2">
      <c r="A36" s="1"/>
      <c r="B36" s="4" t="s">
        <v>118</v>
      </c>
      <c r="C36" s="63">
        <v>-1279</v>
      </c>
      <c r="D36" s="63">
        <v>-5071</v>
      </c>
      <c r="E36" s="97">
        <v>-7116.0000000000009</v>
      </c>
      <c r="F36" s="97">
        <v>-3611</v>
      </c>
      <c r="G36" s="86">
        <v>0</v>
      </c>
      <c r="H36" s="86">
        <v>0</v>
      </c>
      <c r="I36" s="86">
        <v>0</v>
      </c>
      <c r="J36" s="86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</row>
    <row r="37" spans="1:21" x14ac:dyDescent="0.2">
      <c r="A37" s="1"/>
      <c r="B37" s="4" t="s">
        <v>12</v>
      </c>
      <c r="C37" s="63">
        <v>0</v>
      </c>
      <c r="D37" s="63">
        <v>-96</v>
      </c>
      <c r="E37" s="97">
        <v>-2668</v>
      </c>
      <c r="F37" s="97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</row>
    <row r="38" spans="1:21" x14ac:dyDescent="0.2">
      <c r="A38" s="1"/>
      <c r="B38" s="4" t="s">
        <v>100</v>
      </c>
      <c r="C38" s="63">
        <v>0</v>
      </c>
      <c r="D38" s="63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87">
        <v>-7576</v>
      </c>
      <c r="L38" s="87">
        <v>-8944</v>
      </c>
      <c r="M38" s="87">
        <v>-18013</v>
      </c>
      <c r="N38" s="87">
        <v>-14674</v>
      </c>
      <c r="O38" s="87">
        <v>-15665.4</v>
      </c>
      <c r="P38" s="87">
        <v>-10158.459810000033</v>
      </c>
      <c r="Q38" s="87">
        <v>-15928</v>
      </c>
      <c r="R38" s="87">
        <v>-9894.5</v>
      </c>
      <c r="S38" s="87">
        <v>-5204.4116000000577</v>
      </c>
    </row>
    <row r="39" spans="1:21" x14ac:dyDescent="0.2">
      <c r="A39" s="1"/>
      <c r="B39" s="4" t="s">
        <v>13</v>
      </c>
      <c r="C39" s="63">
        <v>-1999</v>
      </c>
      <c r="D39" s="63">
        <v>-3231.0000000000005</v>
      </c>
      <c r="E39" s="97">
        <v>0</v>
      </c>
      <c r="F39" s="97">
        <v>-15508.999999999998</v>
      </c>
      <c r="G39" s="86">
        <v>0</v>
      </c>
      <c r="H39" s="86">
        <v>0</v>
      </c>
      <c r="I39" s="86">
        <v>0</v>
      </c>
      <c r="J39" s="86">
        <v>0</v>
      </c>
      <c r="K39" s="87">
        <v>-2355</v>
      </c>
      <c r="L39" s="87">
        <v>-390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/>
      <c r="S39" s="87">
        <v>0</v>
      </c>
    </row>
    <row r="40" spans="1:21" x14ac:dyDescent="0.2">
      <c r="A40" s="1"/>
      <c r="B40" s="5" t="s">
        <v>99</v>
      </c>
      <c r="C40" s="67">
        <f t="shared" ref="C40:J40" si="9">SUM(C13,C14,C18,C21:C23,C29)</f>
        <v>22869</v>
      </c>
      <c r="D40" s="67">
        <f t="shared" si="9"/>
        <v>53396</v>
      </c>
      <c r="E40" s="84">
        <f t="shared" si="9"/>
        <v>22837.53816000004</v>
      </c>
      <c r="F40" s="84">
        <f t="shared" si="9"/>
        <v>96063.514179999998</v>
      </c>
      <c r="G40" s="84">
        <f t="shared" si="9"/>
        <v>167790</v>
      </c>
      <c r="H40" s="84">
        <f t="shared" si="9"/>
        <v>154804.09088330396</v>
      </c>
      <c r="I40" s="84">
        <f t="shared" si="9"/>
        <v>121376.98694210005</v>
      </c>
      <c r="J40" s="84">
        <f t="shared" si="9"/>
        <v>144772.40000000002</v>
      </c>
      <c r="K40" s="84">
        <f>SUM(K13,K14,K18,K21:K23,K29)</f>
        <v>218370.33018000005</v>
      </c>
      <c r="L40" s="84">
        <f t="shared" ref="L40" si="10">SUM(L13,L14,L18,L21:L23,L29)</f>
        <v>175487.74933481889</v>
      </c>
      <c r="M40" s="84">
        <f t="shared" ref="M40:N40" si="11">SUM(M13,M14,M18,M20:M23,M29,M28)</f>
        <v>-292582.6679354501</v>
      </c>
      <c r="N40" s="84">
        <f t="shared" si="11"/>
        <v>-644886.14189137705</v>
      </c>
      <c r="O40" s="84">
        <f>SUM(O13,O14,O18,O20:O23,O29,O28)</f>
        <v>108215.25527835201</v>
      </c>
      <c r="P40" s="84">
        <f>SUM(P13,P14,P18,P20:P23,P29,P28)</f>
        <v>129246.48640865088</v>
      </c>
      <c r="Q40" s="84">
        <f>SUM(Q13,Q14,Q18,Q20:Q23,Q29,Q28)</f>
        <v>165387.8710563546</v>
      </c>
      <c r="R40" s="84">
        <f>SUM(R13,R14,R18,R20:R23,R29,R28)</f>
        <v>93215.163920000021</v>
      </c>
      <c r="S40" s="84">
        <f>SUM(S13,S14,S18,S20:S23,S29,S28)</f>
        <v>102699.70294564581</v>
      </c>
      <c r="T40" s="143"/>
    </row>
    <row r="41" spans="1:21" x14ac:dyDescent="0.2">
      <c r="A41" s="1"/>
      <c r="B41" s="5" t="s">
        <v>120</v>
      </c>
      <c r="C41" s="70">
        <f t="shared" ref="C41:N41" si="12">SUM(C42:C43)</f>
        <v>1877</v>
      </c>
      <c r="D41" s="70">
        <f t="shared" si="12"/>
        <v>884</v>
      </c>
      <c r="E41" s="106">
        <f t="shared" si="12"/>
        <v>610.18203000000005</v>
      </c>
      <c r="F41" s="106">
        <f t="shared" si="12"/>
        <v>45411</v>
      </c>
      <c r="G41" s="88">
        <f t="shared" si="12"/>
        <v>27035.729296007921</v>
      </c>
      <c r="H41" s="88">
        <f t="shared" si="12"/>
        <v>19106.37283</v>
      </c>
      <c r="I41" s="88">
        <f t="shared" si="12"/>
        <v>12334</v>
      </c>
      <c r="J41" s="88">
        <f t="shared" si="12"/>
        <v>11666.4</v>
      </c>
      <c r="K41" s="84">
        <f t="shared" si="12"/>
        <v>20932.477999999999</v>
      </c>
      <c r="L41" s="84">
        <f t="shared" si="12"/>
        <v>23882</v>
      </c>
      <c r="M41" s="84">
        <f t="shared" si="12"/>
        <v>43281</v>
      </c>
      <c r="N41" s="84">
        <f t="shared" si="12"/>
        <v>14533.584416621001</v>
      </c>
      <c r="O41" s="84">
        <f>SUM(O42:O43)</f>
        <v>14849.4</v>
      </c>
      <c r="P41" s="84">
        <f>SUM(P42:P45)</f>
        <v>26508</v>
      </c>
      <c r="Q41" s="84">
        <f>SUM(Q42:Q45)</f>
        <v>107894</v>
      </c>
      <c r="R41" s="84">
        <f>SUM(R42:R45)</f>
        <v>59285</v>
      </c>
      <c r="S41" s="84">
        <f>SUM(S42:S45)</f>
        <v>91266.314655898997</v>
      </c>
    </row>
    <row r="42" spans="1:21" x14ac:dyDescent="0.2">
      <c r="A42" s="1"/>
      <c r="B42" s="4" t="s">
        <v>122</v>
      </c>
      <c r="C42" s="63">
        <v>1669</v>
      </c>
      <c r="D42" s="63">
        <v>884</v>
      </c>
      <c r="E42" s="97">
        <v>610.18203000000005</v>
      </c>
      <c r="F42" s="97">
        <v>3229</v>
      </c>
      <c r="G42" s="86">
        <v>10940.994720000001</v>
      </c>
      <c r="H42" s="86">
        <v>15902.131569999998</v>
      </c>
      <c r="I42" s="86">
        <v>12334</v>
      </c>
      <c r="J42" s="86">
        <v>11666.4</v>
      </c>
      <c r="K42" s="83">
        <v>20932.477999999999</v>
      </c>
      <c r="L42" s="83">
        <v>23882</v>
      </c>
      <c r="M42" s="87">
        <v>17793</v>
      </c>
      <c r="N42" s="87">
        <v>14533.584416621001</v>
      </c>
      <c r="O42" s="87">
        <v>14849.4</v>
      </c>
      <c r="P42" s="87">
        <v>18920</v>
      </c>
      <c r="Q42" s="87">
        <v>23631</v>
      </c>
      <c r="R42" s="87">
        <v>11600</v>
      </c>
      <c r="S42" s="87">
        <v>12122.26656</v>
      </c>
    </row>
    <row r="43" spans="1:21" x14ac:dyDescent="0.2">
      <c r="A43" s="1"/>
      <c r="B43" s="4" t="s">
        <v>97</v>
      </c>
      <c r="C43" s="63">
        <v>208.00000000000003</v>
      </c>
      <c r="D43" s="63">
        <v>0</v>
      </c>
      <c r="E43" s="97">
        <v>0</v>
      </c>
      <c r="F43" s="97">
        <v>42182</v>
      </c>
      <c r="G43" s="86">
        <v>16094.734576007921</v>
      </c>
      <c r="H43" s="86">
        <v>3204.2412600000021</v>
      </c>
      <c r="I43" s="97">
        <v>0</v>
      </c>
      <c r="J43" s="97">
        <v>0</v>
      </c>
      <c r="K43" s="87">
        <v>0</v>
      </c>
      <c r="L43" s="87">
        <v>0</v>
      </c>
      <c r="M43" s="87">
        <v>25488</v>
      </c>
      <c r="N43" s="87">
        <v>0</v>
      </c>
      <c r="O43" s="87">
        <v>0</v>
      </c>
      <c r="P43" s="87">
        <v>0</v>
      </c>
      <c r="Q43" s="87">
        <v>84224</v>
      </c>
      <c r="R43" s="87">
        <v>47685</v>
      </c>
      <c r="S43" s="87">
        <v>79144.048095898994</v>
      </c>
    </row>
    <row r="44" spans="1:21" x14ac:dyDescent="0.2">
      <c r="A44" s="1"/>
      <c r="B44" s="4" t="s">
        <v>133</v>
      </c>
      <c r="C44" s="69">
        <v>0</v>
      </c>
      <c r="D44" s="69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7367</v>
      </c>
      <c r="Q44" s="87">
        <v>0</v>
      </c>
      <c r="R44" s="87">
        <v>0</v>
      </c>
      <c r="S44" s="87">
        <v>0</v>
      </c>
    </row>
    <row r="45" spans="1:21" x14ac:dyDescent="0.2">
      <c r="A45" s="1"/>
      <c r="B45" s="4" t="s">
        <v>130</v>
      </c>
      <c r="C45" s="69">
        <v>0</v>
      </c>
      <c r="D45" s="69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221</v>
      </c>
      <c r="Q45" s="87">
        <v>39</v>
      </c>
      <c r="R45" s="87">
        <v>0</v>
      </c>
      <c r="S45" s="87">
        <v>0</v>
      </c>
    </row>
    <row r="46" spans="1:21" x14ac:dyDescent="0.2">
      <c r="A46" s="1"/>
      <c r="B46" s="5" t="s">
        <v>121</v>
      </c>
      <c r="C46" s="70">
        <f t="shared" ref="C46:S46" si="13">SUM(C47:C57)</f>
        <v>-3268</v>
      </c>
      <c r="D46" s="70">
        <f t="shared" si="13"/>
        <v>-11905</v>
      </c>
      <c r="E46" s="106">
        <f t="shared" si="13"/>
        <v>-4770.9974899999997</v>
      </c>
      <c r="F46" s="106">
        <f t="shared" si="13"/>
        <v>-17669</v>
      </c>
      <c r="G46" s="106">
        <f t="shared" si="13"/>
        <v>-10491.581414500013</v>
      </c>
      <c r="H46" s="88">
        <f t="shared" si="13"/>
        <v>-59310.061595699975</v>
      </c>
      <c r="I46" s="88">
        <f t="shared" si="13"/>
        <v>-57521</v>
      </c>
      <c r="J46" s="88">
        <f t="shared" si="13"/>
        <v>-111269</v>
      </c>
      <c r="K46" s="84">
        <f t="shared" si="13"/>
        <v>-315355.18</v>
      </c>
      <c r="L46" s="84">
        <f t="shared" si="13"/>
        <v>-173103</v>
      </c>
      <c r="M46" s="84">
        <f t="shared" si="13"/>
        <v>-104150</v>
      </c>
      <c r="N46" s="84">
        <f t="shared" si="13"/>
        <v>-85017.600000000006</v>
      </c>
      <c r="O46" s="84">
        <f t="shared" si="13"/>
        <v>-128131.29999999999</v>
      </c>
      <c r="P46" s="84">
        <f t="shared" si="13"/>
        <v>-319884.40000000002</v>
      </c>
      <c r="Q46" s="84">
        <f t="shared" si="13"/>
        <v>-220071</v>
      </c>
      <c r="R46" s="84">
        <f>SUM(R47:R57)</f>
        <v>-184235.8</v>
      </c>
      <c r="S46" s="84">
        <f t="shared" si="13"/>
        <v>-32324.449149999997</v>
      </c>
    </row>
    <row r="47" spans="1:21" x14ac:dyDescent="0.2">
      <c r="A47" s="1"/>
      <c r="B47" s="4" t="s">
        <v>14</v>
      </c>
      <c r="C47" s="63">
        <v>-2476</v>
      </c>
      <c r="D47" s="63">
        <v>-8937</v>
      </c>
      <c r="E47" s="97">
        <v>-3235.0000000000005</v>
      </c>
      <c r="F47" s="97">
        <v>-6053</v>
      </c>
      <c r="G47" s="86">
        <v>-7404.5814145000131</v>
      </c>
      <c r="H47" s="86">
        <v>-7681.3082856999781</v>
      </c>
      <c r="I47" s="86">
        <v>-8903</v>
      </c>
      <c r="J47" s="86">
        <v>-5245</v>
      </c>
      <c r="K47" s="87">
        <v>-28626.697</v>
      </c>
      <c r="L47" s="87">
        <v>-7972</v>
      </c>
      <c r="M47" s="87">
        <v>-27215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</row>
    <row r="48" spans="1:21" x14ac:dyDescent="0.2">
      <c r="A48" s="1"/>
      <c r="B48" s="4" t="s">
        <v>128</v>
      </c>
      <c r="C48" s="63">
        <v>0</v>
      </c>
      <c r="D48" s="63">
        <v>0</v>
      </c>
      <c r="E48" s="97">
        <v>0</v>
      </c>
      <c r="F48" s="97">
        <v>0</v>
      </c>
      <c r="G48" s="86">
        <v>0</v>
      </c>
      <c r="H48" s="86">
        <v>0</v>
      </c>
      <c r="I48" s="86">
        <v>0</v>
      </c>
      <c r="J48" s="86">
        <v>0</v>
      </c>
      <c r="K48" s="87">
        <v>0</v>
      </c>
      <c r="L48" s="87">
        <v>0</v>
      </c>
      <c r="M48" s="87">
        <v>-23502</v>
      </c>
      <c r="N48" s="87">
        <v>-149</v>
      </c>
      <c r="O48" s="87">
        <v>-39.4</v>
      </c>
      <c r="P48" s="87">
        <v>0</v>
      </c>
      <c r="Q48" s="87">
        <v>0</v>
      </c>
      <c r="R48" s="87">
        <v>-2</v>
      </c>
      <c r="S48" s="87">
        <v>-90.81</v>
      </c>
    </row>
    <row r="49" spans="1:20" x14ac:dyDescent="0.2">
      <c r="A49" s="1"/>
      <c r="B49" s="4" t="s">
        <v>140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-24</v>
      </c>
      <c r="S49" s="87">
        <v>-27.465060000000026</v>
      </c>
    </row>
    <row r="50" spans="1:20" x14ac:dyDescent="0.2">
      <c r="A50" s="1"/>
      <c r="B50" s="4" t="s">
        <v>15</v>
      </c>
      <c r="C50" s="63">
        <v>0</v>
      </c>
      <c r="D50" s="63">
        <v>0</v>
      </c>
      <c r="E50" s="97">
        <v>0</v>
      </c>
      <c r="F50" s="97">
        <v>0</v>
      </c>
      <c r="G50" s="86">
        <v>0</v>
      </c>
      <c r="H50" s="86">
        <v>-41177.710799999993</v>
      </c>
      <c r="I50" s="86">
        <v>0</v>
      </c>
      <c r="J50" s="86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</row>
    <row r="51" spans="1:20" x14ac:dyDescent="0.2">
      <c r="A51" s="1"/>
      <c r="B51" s="4" t="s">
        <v>138</v>
      </c>
      <c r="C51" s="69">
        <v>0</v>
      </c>
      <c r="D51" s="69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-1225</v>
      </c>
      <c r="Q51" s="87">
        <v>-987</v>
      </c>
      <c r="R51" s="87">
        <v>-418.4</v>
      </c>
      <c r="S51" s="87">
        <v>0</v>
      </c>
    </row>
    <row r="52" spans="1:20" x14ac:dyDescent="0.2">
      <c r="A52" s="1"/>
      <c r="B52" s="4" t="s">
        <v>139</v>
      </c>
      <c r="C52" s="69">
        <v>0</v>
      </c>
      <c r="D52" s="69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-1927</v>
      </c>
      <c r="R52" s="87">
        <v>0</v>
      </c>
      <c r="S52" s="87">
        <v>0</v>
      </c>
    </row>
    <row r="53" spans="1:20" x14ac:dyDescent="0.2">
      <c r="A53" s="1"/>
      <c r="B53" s="4" t="s">
        <v>98</v>
      </c>
      <c r="C53" s="63">
        <v>0</v>
      </c>
      <c r="D53" s="63">
        <v>-1799.9999999999998</v>
      </c>
      <c r="E53" s="97">
        <v>-10.602559999998746</v>
      </c>
      <c r="F53" s="97">
        <v>0</v>
      </c>
      <c r="G53" s="105">
        <v>0</v>
      </c>
      <c r="H53" s="86">
        <v>0</v>
      </c>
      <c r="I53" s="86">
        <v>-34367</v>
      </c>
      <c r="J53" s="86">
        <v>-61133</v>
      </c>
      <c r="K53" s="87">
        <v>-226837.34</v>
      </c>
      <c r="L53" s="87">
        <v>-112309</v>
      </c>
      <c r="M53" s="87">
        <v>0</v>
      </c>
      <c r="N53" s="87">
        <v>-37516.9</v>
      </c>
      <c r="O53" s="87">
        <v>-85248.5</v>
      </c>
      <c r="P53" s="87">
        <v>-191901.4</v>
      </c>
      <c r="Q53" s="87">
        <v>0</v>
      </c>
      <c r="R53" s="87">
        <v>0</v>
      </c>
      <c r="S53" s="87">
        <v>0</v>
      </c>
    </row>
    <row r="54" spans="1:20" x14ac:dyDescent="0.2">
      <c r="A54" s="1"/>
      <c r="B54" s="4" t="s">
        <v>16</v>
      </c>
      <c r="C54" s="63">
        <v>-791.99999999999989</v>
      </c>
      <c r="D54" s="63">
        <v>-1168</v>
      </c>
      <c r="E54" s="97">
        <v>-1525.3949299999999</v>
      </c>
      <c r="F54" s="97">
        <v>-11616</v>
      </c>
      <c r="G54" s="86">
        <v>-40</v>
      </c>
      <c r="H54" s="86">
        <v>-10436.042510000008</v>
      </c>
      <c r="I54" s="86">
        <v>-14251</v>
      </c>
      <c r="J54" s="86">
        <v>-44891</v>
      </c>
      <c r="K54" s="87">
        <v>-59891.142999999996</v>
      </c>
      <c r="L54" s="87">
        <v>-52822</v>
      </c>
      <c r="M54" s="87">
        <v>-53433</v>
      </c>
      <c r="N54" s="87">
        <v>-47351.7</v>
      </c>
      <c r="O54" s="87">
        <v>-42843.4</v>
      </c>
      <c r="P54" s="87">
        <v>-126758</v>
      </c>
      <c r="Q54" s="87">
        <v>-101423</v>
      </c>
      <c r="R54" s="87">
        <v>-68057</v>
      </c>
      <c r="S54" s="87">
        <v>-32162.134089999996</v>
      </c>
    </row>
    <row r="55" spans="1:20" x14ac:dyDescent="0.2">
      <c r="A55" s="1"/>
      <c r="B55" s="4" t="s">
        <v>134</v>
      </c>
      <c r="C55" s="69">
        <v>0</v>
      </c>
      <c r="D55" s="69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-115734</v>
      </c>
      <c r="R55" s="87">
        <v>-115734.39999999999</v>
      </c>
      <c r="S55" s="87">
        <v>-44.04</v>
      </c>
    </row>
    <row r="56" spans="1:20" x14ac:dyDescent="0.2">
      <c r="A56" s="1"/>
      <c r="B56" s="4" t="s">
        <v>17</v>
      </c>
      <c r="C56" s="63">
        <v>0</v>
      </c>
      <c r="D56" s="63">
        <v>0</v>
      </c>
      <c r="E56" s="97">
        <v>0</v>
      </c>
      <c r="F56" s="97">
        <v>0</v>
      </c>
      <c r="G56" s="86">
        <v>-3047</v>
      </c>
      <c r="H56" s="86">
        <v>0</v>
      </c>
      <c r="I56" s="86">
        <v>0</v>
      </c>
      <c r="J56" s="86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</row>
    <row r="57" spans="1:20" x14ac:dyDescent="0.2">
      <c r="A57" s="1"/>
      <c r="B57" s="4" t="s">
        <v>119</v>
      </c>
      <c r="C57" s="63">
        <v>0</v>
      </c>
      <c r="D57" s="63">
        <v>0</v>
      </c>
      <c r="E57" s="97">
        <v>0</v>
      </c>
      <c r="F57" s="97">
        <v>0</v>
      </c>
      <c r="G57" s="86">
        <v>0</v>
      </c>
      <c r="H57" s="86">
        <v>-15</v>
      </c>
      <c r="I57" s="86">
        <v>0</v>
      </c>
      <c r="J57" s="86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</row>
    <row r="58" spans="1:20" x14ac:dyDescent="0.2">
      <c r="A58" s="1"/>
      <c r="B58" s="5" t="s">
        <v>93</v>
      </c>
      <c r="C58" s="70">
        <f t="shared" ref="C58:S58" si="14">SUM(C40,C41,C46)</f>
        <v>21478</v>
      </c>
      <c r="D58" s="70">
        <f t="shared" si="14"/>
        <v>42375</v>
      </c>
      <c r="E58" s="106">
        <f t="shared" si="14"/>
        <v>18676.722700000042</v>
      </c>
      <c r="F58" s="106">
        <f t="shared" si="14"/>
        <v>123805.51418</v>
      </c>
      <c r="G58" s="88">
        <f t="shared" si="14"/>
        <v>184334.1478815079</v>
      </c>
      <c r="H58" s="88">
        <f t="shared" si="14"/>
        <v>114600.40211760398</v>
      </c>
      <c r="I58" s="88">
        <f t="shared" si="14"/>
        <v>76189.986942100048</v>
      </c>
      <c r="J58" s="88">
        <f t="shared" si="14"/>
        <v>45169.800000000017</v>
      </c>
      <c r="K58" s="84">
        <f t="shared" si="14"/>
        <v>-76052.371819999942</v>
      </c>
      <c r="L58" s="84">
        <f t="shared" si="14"/>
        <v>26266.749334818887</v>
      </c>
      <c r="M58" s="84">
        <f t="shared" si="14"/>
        <v>-353451.6679354501</v>
      </c>
      <c r="N58" s="84">
        <f t="shared" si="14"/>
        <v>-715370.15747475601</v>
      </c>
      <c r="O58" s="84">
        <f t="shared" si="14"/>
        <v>-5066.6447216479864</v>
      </c>
      <c r="P58" s="84">
        <f t="shared" si="14"/>
        <v>-164129.91359134915</v>
      </c>
      <c r="Q58" s="84">
        <f t="shared" si="14"/>
        <v>53210.871056354605</v>
      </c>
      <c r="R58" s="84">
        <f t="shared" si="14"/>
        <v>-31735.636079999967</v>
      </c>
      <c r="S58" s="84">
        <f t="shared" si="14"/>
        <v>161641.56845154479</v>
      </c>
    </row>
    <row r="59" spans="1:20" x14ac:dyDescent="0.2">
      <c r="A59" s="1"/>
      <c r="B59" s="5" t="s">
        <v>94</v>
      </c>
      <c r="C59" s="70">
        <f t="shared" ref="C59:J59" si="15">SUM(C60:C61)</f>
        <v>17706</v>
      </c>
      <c r="D59" s="70">
        <f t="shared" si="15"/>
        <v>-6312.0000000000018</v>
      </c>
      <c r="E59" s="106">
        <f t="shared" si="15"/>
        <v>-2869.0000000000009</v>
      </c>
      <c r="F59" s="106">
        <f t="shared" si="15"/>
        <v>-22273.000000000095</v>
      </c>
      <c r="G59" s="88">
        <f t="shared" si="15"/>
        <v>-9921</v>
      </c>
      <c r="H59" s="88">
        <f t="shared" si="15"/>
        <v>-17383</v>
      </c>
      <c r="I59" s="88">
        <f t="shared" si="15"/>
        <v>-10960</v>
      </c>
      <c r="J59" s="88">
        <f t="shared" si="15"/>
        <v>-5884</v>
      </c>
      <c r="K59" s="84">
        <f>SUM(K60:K61)</f>
        <v>10555</v>
      </c>
      <c r="L59" s="84">
        <f t="shared" ref="L59:M59" si="16">SUM(L60:L61)</f>
        <v>38859</v>
      </c>
      <c r="M59" s="84">
        <f t="shared" si="16"/>
        <v>-648.4</v>
      </c>
      <c r="N59" s="84">
        <f t="shared" ref="N59:O59" si="17">SUM(N60:N61)</f>
        <v>-1168.85862</v>
      </c>
      <c r="O59" s="92">
        <f t="shared" si="17"/>
        <v>-518.94262000000003</v>
      </c>
      <c r="P59" s="92">
        <f>SUM(P60:P61)</f>
        <v>-513.82754999999997</v>
      </c>
      <c r="Q59" s="92">
        <f>SUM(Q60:Q61)</f>
        <v>-499.8736899999999</v>
      </c>
      <c r="R59" s="92">
        <f>SUM(R60:R61)</f>
        <v>-297.89999999999998</v>
      </c>
      <c r="S59" s="92">
        <f>SUM(S60:S61)</f>
        <v>-401.75358</v>
      </c>
    </row>
    <row r="60" spans="1:20" x14ac:dyDescent="0.2">
      <c r="A60" s="1"/>
      <c r="B60" s="4" t="s">
        <v>123</v>
      </c>
      <c r="C60" s="63">
        <v>-21412</v>
      </c>
      <c r="D60" s="63">
        <v>-15093.000000000002</v>
      </c>
      <c r="E60" s="97">
        <v>-9835</v>
      </c>
      <c r="F60" s="97">
        <v>-30569.000000000095</v>
      </c>
      <c r="G60" s="86">
        <v>-15517</v>
      </c>
      <c r="H60" s="86">
        <v>-21006</v>
      </c>
      <c r="I60" s="86">
        <v>-9826</v>
      </c>
      <c r="J60" s="86">
        <v>-4322</v>
      </c>
      <c r="K60" s="87">
        <v>-5052</v>
      </c>
      <c r="L60" s="87">
        <v>-5532</v>
      </c>
      <c r="M60" s="87">
        <v>-648.4</v>
      </c>
      <c r="N60" s="87">
        <v>-1168.85862</v>
      </c>
      <c r="O60" s="87">
        <v>-518.94262000000003</v>
      </c>
      <c r="P60" s="87">
        <v>-513.82754999999997</v>
      </c>
      <c r="Q60" s="87">
        <v>-499.8736899999999</v>
      </c>
      <c r="R60" s="87">
        <v>-297.89999999999998</v>
      </c>
      <c r="S60" s="87">
        <v>-401.75358</v>
      </c>
    </row>
    <row r="61" spans="1:20" x14ac:dyDescent="0.2">
      <c r="A61" s="1"/>
      <c r="B61" s="4" t="s">
        <v>124</v>
      </c>
      <c r="C61" s="63">
        <v>39118</v>
      </c>
      <c r="D61" s="63">
        <v>8781</v>
      </c>
      <c r="E61" s="97">
        <v>6965.9999999999991</v>
      </c>
      <c r="F61" s="97">
        <v>8296</v>
      </c>
      <c r="G61" s="86">
        <v>5596</v>
      </c>
      <c r="H61" s="86">
        <v>3623</v>
      </c>
      <c r="I61" s="86">
        <v>-1134</v>
      </c>
      <c r="J61" s="86">
        <v>-1562</v>
      </c>
      <c r="K61" s="83">
        <v>15607</v>
      </c>
      <c r="L61" s="83">
        <v>44391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</row>
    <row r="62" spans="1:20" x14ac:dyDescent="0.2">
      <c r="A62" s="1"/>
      <c r="B62" s="5" t="s">
        <v>95</v>
      </c>
      <c r="C62" s="70">
        <f t="shared" ref="C62:N62" si="18">SUM(C58:C59)</f>
        <v>39184</v>
      </c>
      <c r="D62" s="70">
        <f t="shared" si="18"/>
        <v>36063</v>
      </c>
      <c r="E62" s="106">
        <f t="shared" si="18"/>
        <v>15807.722700000042</v>
      </c>
      <c r="F62" s="106">
        <f t="shared" si="18"/>
        <v>101532.51417999991</v>
      </c>
      <c r="G62" s="88">
        <f t="shared" si="18"/>
        <v>174413.1478815079</v>
      </c>
      <c r="H62" s="88">
        <f t="shared" si="18"/>
        <v>97217.402117603982</v>
      </c>
      <c r="I62" s="88">
        <f t="shared" si="18"/>
        <v>65229.986942100048</v>
      </c>
      <c r="J62" s="88">
        <f t="shared" si="18"/>
        <v>39285.800000000017</v>
      </c>
      <c r="K62" s="84">
        <f t="shared" si="18"/>
        <v>-65497.371819999942</v>
      </c>
      <c r="L62" s="84">
        <f t="shared" si="18"/>
        <v>65125.749334818887</v>
      </c>
      <c r="M62" s="84">
        <f t="shared" si="18"/>
        <v>-354100.06793545012</v>
      </c>
      <c r="N62" s="84">
        <f t="shared" si="18"/>
        <v>-716539.01609475596</v>
      </c>
      <c r="O62" s="84">
        <f t="shared" ref="O62" si="19">SUM(O58:O59)</f>
        <v>-5585.5873416479862</v>
      </c>
      <c r="P62" s="84">
        <f>SUM(P58:P59)</f>
        <v>-164643.74114134914</v>
      </c>
      <c r="Q62" s="84">
        <f>SUM(Q58:Q59)</f>
        <v>52710.997366354604</v>
      </c>
      <c r="R62" s="84">
        <f>SUM(R58:R59)</f>
        <v>-32033.536079999969</v>
      </c>
      <c r="S62" s="84">
        <f>SUM(S58:S59)</f>
        <v>161239.8148715448</v>
      </c>
    </row>
    <row r="63" spans="1:20" x14ac:dyDescent="0.2">
      <c r="A63" s="1"/>
      <c r="B63" s="7" t="s">
        <v>18</v>
      </c>
      <c r="C63" s="11"/>
      <c r="D63" s="11">
        <f t="shared" ref="D63:I63" si="20">D59/D58</f>
        <v>-0.14895575221238944</v>
      </c>
      <c r="E63" s="110">
        <f t="shared" si="20"/>
        <v>-0.15361367441622906</v>
      </c>
      <c r="F63" s="110">
        <f t="shared" si="20"/>
        <v>-0.17990313393971719</v>
      </c>
      <c r="G63" s="110">
        <f t="shared" si="20"/>
        <v>-5.3820738664098915E-2</v>
      </c>
      <c r="H63" s="110">
        <f t="shared" si="20"/>
        <v>-0.15168358643420296</v>
      </c>
      <c r="I63" s="110">
        <f t="shared" si="20"/>
        <v>-0.14385092372215474</v>
      </c>
      <c r="J63" s="110"/>
      <c r="K63" s="111"/>
      <c r="L63" s="111"/>
      <c r="M63" s="112"/>
      <c r="N63" s="10"/>
      <c r="O63" s="82"/>
      <c r="P63" s="82"/>
      <c r="Q63" s="82"/>
      <c r="R63" s="82"/>
      <c r="S63" s="82"/>
    </row>
    <row r="64" spans="1:20" x14ac:dyDescent="0.2">
      <c r="A64" s="1"/>
      <c r="B64" s="8" t="s">
        <v>19</v>
      </c>
      <c r="C64" s="71">
        <f t="shared" ref="C64:L64" si="21">C40-C22-C20</f>
        <v>129527</v>
      </c>
      <c r="D64" s="71">
        <f t="shared" si="21"/>
        <v>152281</v>
      </c>
      <c r="E64" s="93">
        <f t="shared" si="21"/>
        <v>118948.53816000004</v>
      </c>
      <c r="F64" s="93">
        <f t="shared" si="21"/>
        <v>194812.51418</v>
      </c>
      <c r="G64" s="93">
        <f t="shared" si="21"/>
        <v>259927</v>
      </c>
      <c r="H64" s="93">
        <f t="shared" si="21"/>
        <v>251886.09088330396</v>
      </c>
      <c r="I64" s="93">
        <f t="shared" si="21"/>
        <v>223303.98694210005</v>
      </c>
      <c r="J64" s="93">
        <f t="shared" si="21"/>
        <v>250030.40000000002</v>
      </c>
      <c r="K64" s="93">
        <f t="shared" si="21"/>
        <v>322786.78018000006</v>
      </c>
      <c r="L64" s="93">
        <f t="shared" si="21"/>
        <v>281755.15616669389</v>
      </c>
      <c r="M64" s="93">
        <f t="shared" ref="M64:S64" si="22">M40-M22-M20-M28</f>
        <v>211850.99999999997</v>
      </c>
      <c r="N64" s="93">
        <f t="shared" si="22"/>
        <v>172322.01564673695</v>
      </c>
      <c r="O64" s="93">
        <f t="shared" si="22"/>
        <v>223178.62281000006</v>
      </c>
      <c r="P64" s="93">
        <f t="shared" si="22"/>
        <v>218961.79102399977</v>
      </c>
      <c r="Q64" s="93">
        <f t="shared" si="22"/>
        <v>226575.52665358814</v>
      </c>
      <c r="R64" s="93">
        <f t="shared" si="22"/>
        <v>128699.56392000002</v>
      </c>
      <c r="S64" s="93">
        <f t="shared" si="22"/>
        <v>132178.74467949985</v>
      </c>
      <c r="T64" s="143"/>
    </row>
    <row r="65" spans="1:19" x14ac:dyDescent="0.2">
      <c r="A65" s="1"/>
      <c r="B65" s="9" t="s">
        <v>125</v>
      </c>
      <c r="C65" s="119">
        <f t="shared" ref="C65:S65" si="23">C64/SUM(C13)</f>
        <v>0.39794952778306902</v>
      </c>
      <c r="D65" s="119">
        <f t="shared" si="23"/>
        <v>0.44671857032221729</v>
      </c>
      <c r="E65" s="113">
        <f t="shared" si="23"/>
        <v>0.37306936817979136</v>
      </c>
      <c r="F65" s="113">
        <f t="shared" si="23"/>
        <v>0.48139116909971846</v>
      </c>
      <c r="G65" s="113">
        <f t="shared" si="23"/>
        <v>0.54448999428124945</v>
      </c>
      <c r="H65" s="113">
        <f t="shared" si="23"/>
        <v>0.53613432169261654</v>
      </c>
      <c r="I65" s="113">
        <f t="shared" si="23"/>
        <v>0.46536555644076943</v>
      </c>
      <c r="J65" s="113">
        <f t="shared" si="23"/>
        <v>0.488751099556268</v>
      </c>
      <c r="K65" s="114">
        <f t="shared" si="23"/>
        <v>0.56159040893391932</v>
      </c>
      <c r="L65" s="114">
        <f t="shared" si="23"/>
        <v>0.64046616483534324</v>
      </c>
      <c r="M65" s="114">
        <f t="shared" si="23"/>
        <v>0.48753573653449217</v>
      </c>
      <c r="N65" s="94">
        <f t="shared" si="23"/>
        <v>0.40583169852946444</v>
      </c>
      <c r="O65" s="94">
        <f t="shared" si="23"/>
        <v>0.45450340097637992</v>
      </c>
      <c r="P65" s="94">
        <f t="shared" si="23"/>
        <v>0.44743593047851121</v>
      </c>
      <c r="Q65" s="94">
        <f t="shared" si="23"/>
        <v>0.41355874777498319</v>
      </c>
      <c r="R65" s="94">
        <f t="shared" si="23"/>
        <v>0.46357005593836342</v>
      </c>
      <c r="S65" s="94">
        <f t="shared" si="23"/>
        <v>0.42487191163891952</v>
      </c>
    </row>
    <row r="66" spans="1:19" x14ac:dyDescent="0.2">
      <c r="A66" s="1"/>
      <c r="B66" s="74"/>
      <c r="C66" s="120"/>
      <c r="D66" s="120"/>
      <c r="E66" s="115"/>
      <c r="F66" s="115"/>
      <c r="G66" s="115"/>
      <c r="H66" s="115"/>
      <c r="I66" s="115"/>
      <c r="J66" s="115"/>
      <c r="K66" s="116"/>
      <c r="L66" s="116"/>
      <c r="M66" s="95"/>
      <c r="N66" s="95"/>
      <c r="O66" s="95"/>
      <c r="P66" s="95"/>
      <c r="Q66" s="95"/>
      <c r="R66" s="1"/>
      <c r="S66" s="1"/>
    </row>
    <row r="67" spans="1:19" x14ac:dyDescent="0.2">
      <c r="B67" s="74"/>
      <c r="C67" s="127"/>
      <c r="D67" s="127"/>
      <c r="E67" s="116"/>
      <c r="F67" s="116"/>
      <c r="G67" s="116"/>
      <c r="H67" s="116"/>
      <c r="I67" s="116"/>
      <c r="J67" s="116"/>
      <c r="K67" s="116"/>
      <c r="L67" s="116"/>
      <c r="M67" s="95"/>
      <c r="N67" s="95"/>
      <c r="O67" s="96"/>
      <c r="P67" s="96"/>
      <c r="Q67" s="96"/>
    </row>
  </sheetData>
  <mergeCells count="1">
    <mergeCell ref="C2:S2"/>
  </mergeCells>
  <pageMargins left="0.7" right="0.7" top="0.75" bottom="0.75" header="0.3" footer="0.3"/>
  <pageSetup scale="24" orientation="portrait" horizontalDpi="300" r:id="rId1"/>
  <ignoredErrors>
    <ignoredError sqref="J15:N18 C13:O13 J24:N31 J23:O23 J33:N35 J32:M32 J38:N38 J36:M36 J37:L37 J56:N60 J39:M39 J40:N40 J21:N22 J19:M19 J14:L14 N14 J20 L20:N20 J65:N65 J64:M64 J53:N54 J62:N63 J61:M61 P13:Q13 P23:Q23 E18:I18 C19:I19 C18:D18 O41 J50:N50 J46:N48 J41:N43 C44:N45 C41:I43 C50:I50 C46:I48 O18:P18 Q18:S20 Q28 R23:S23 Q22 Q21 Q24:Q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2"/>
  <sheetViews>
    <sheetView showGridLines="0" zoomScaleNormal="10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3.28515625" style="125" customWidth="1"/>
    <col min="2" max="2" width="9.140625" style="125"/>
    <col min="3" max="3" width="30.140625" style="125" bestFit="1" customWidth="1"/>
    <col min="4" max="17" width="10" style="125" bestFit="1" customWidth="1"/>
    <col min="18" max="18" width="13.140625" style="125" customWidth="1"/>
    <col min="19" max="20" width="10" style="125" customWidth="1"/>
    <col min="21" max="16384" width="9.140625" style="125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4.25" customHeight="1" x14ac:dyDescent="0.2">
      <c r="A2" s="1"/>
      <c r="B2" s="1"/>
      <c r="C2" s="1"/>
      <c r="D2" s="144" t="s">
        <v>81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2" s="129" customFormat="1" x14ac:dyDescent="0.25">
      <c r="A3" s="79"/>
      <c r="B3" s="75" t="s">
        <v>101</v>
      </c>
      <c r="C3" s="76"/>
      <c r="D3" s="77">
        <v>2007</v>
      </c>
      <c r="E3" s="77">
        <v>2008</v>
      </c>
      <c r="F3" s="77">
        <v>2009</v>
      </c>
      <c r="G3" s="77">
        <v>2010</v>
      </c>
      <c r="H3" s="77">
        <v>2011</v>
      </c>
      <c r="I3" s="77">
        <v>2012</v>
      </c>
      <c r="J3" s="77">
        <v>2013</v>
      </c>
      <c r="K3" s="77">
        <v>2014</v>
      </c>
      <c r="L3" s="77">
        <v>2015</v>
      </c>
      <c r="M3" s="77">
        <v>2016</v>
      </c>
      <c r="N3" s="77">
        <v>2017</v>
      </c>
      <c r="O3" s="77">
        <v>2018</v>
      </c>
      <c r="P3" s="77">
        <v>2019</v>
      </c>
      <c r="Q3" s="78">
        <v>2020</v>
      </c>
      <c r="R3" s="78">
        <v>2021</v>
      </c>
      <c r="S3" s="145">
        <v>44377</v>
      </c>
      <c r="T3" s="145">
        <v>44742</v>
      </c>
    </row>
    <row r="4" spans="1:22" x14ac:dyDescent="0.2">
      <c r="A4" s="1"/>
      <c r="B4" s="45" t="s">
        <v>44</v>
      </c>
      <c r="C4" s="46"/>
      <c r="D4" s="46"/>
      <c r="E4" s="46"/>
      <c r="F4" s="47"/>
      <c r="G4" s="46"/>
      <c r="H4" s="6"/>
      <c r="I4" s="6"/>
      <c r="J4" s="6"/>
      <c r="K4" s="6"/>
      <c r="L4" s="1"/>
      <c r="M4" s="1"/>
      <c r="N4" s="1"/>
      <c r="O4" s="1"/>
      <c r="P4" s="19"/>
      <c r="Q4" s="19"/>
      <c r="R4" s="19"/>
      <c r="S4" s="19"/>
      <c r="T4" s="19"/>
    </row>
    <row r="5" spans="1:22" x14ac:dyDescent="0.2">
      <c r="A5" s="1"/>
      <c r="B5" s="45" t="s">
        <v>45</v>
      </c>
      <c r="C5" s="46"/>
      <c r="D5" s="46"/>
      <c r="E5" s="48"/>
      <c r="F5" s="49"/>
      <c r="G5" s="48"/>
      <c r="H5" s="48"/>
      <c r="I5" s="48"/>
      <c r="J5" s="48"/>
      <c r="K5" s="48"/>
      <c r="L5" s="1"/>
      <c r="M5" s="1"/>
      <c r="N5" s="1"/>
      <c r="O5" s="1"/>
      <c r="P5" s="19"/>
      <c r="Q5" s="19"/>
      <c r="R5" s="19"/>
      <c r="S5" s="19"/>
      <c r="T5" s="19"/>
    </row>
    <row r="6" spans="1:22" x14ac:dyDescent="0.2">
      <c r="A6" s="1"/>
      <c r="B6" s="46"/>
      <c r="C6" s="46" t="s">
        <v>46</v>
      </c>
      <c r="D6" s="22">
        <v>1635190</v>
      </c>
      <c r="E6" s="22">
        <v>1635482</v>
      </c>
      <c r="F6" s="50">
        <v>1699940</v>
      </c>
      <c r="G6" s="50">
        <v>1725633</v>
      </c>
      <c r="H6" s="50">
        <v>1913195</v>
      </c>
      <c r="I6" s="50">
        <v>2197235</v>
      </c>
      <c r="J6" s="50">
        <v>2347187</v>
      </c>
      <c r="K6" s="50">
        <v>2378228</v>
      </c>
      <c r="L6" s="50">
        <v>2483393</v>
      </c>
      <c r="M6" s="50">
        <v>2623594</v>
      </c>
      <c r="N6" s="50">
        <v>2368379.8952146741</v>
      </c>
      <c r="O6" s="50">
        <v>1826590.5345387601</v>
      </c>
      <c r="P6" s="50">
        <v>1865352.0436143773</v>
      </c>
      <c r="Q6" s="50">
        <v>1829561</v>
      </c>
      <c r="R6" s="50">
        <v>1825474.4</v>
      </c>
      <c r="S6" s="50">
        <v>1813433</v>
      </c>
      <c r="T6" s="50">
        <v>1815406.0479615103</v>
      </c>
      <c r="U6" s="135"/>
      <c r="V6" s="50"/>
    </row>
    <row r="7" spans="1:22" x14ac:dyDescent="0.2">
      <c r="A7" s="1"/>
      <c r="B7" s="46"/>
      <c r="C7" s="46" t="s">
        <v>102</v>
      </c>
      <c r="D7" s="22">
        <v>0</v>
      </c>
      <c r="E7" s="22">
        <v>0</v>
      </c>
      <c r="F7" s="50">
        <v>0</v>
      </c>
      <c r="G7" s="50">
        <v>0</v>
      </c>
      <c r="H7" s="50">
        <v>0</v>
      </c>
      <c r="I7" s="50">
        <v>1557</v>
      </c>
      <c r="J7" s="50">
        <v>1557</v>
      </c>
      <c r="K7" s="50">
        <v>1557</v>
      </c>
      <c r="L7" s="50">
        <v>1094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</row>
    <row r="8" spans="1:22" x14ac:dyDescent="0.2">
      <c r="A8" s="1"/>
      <c r="B8" s="46"/>
      <c r="C8" s="46" t="s">
        <v>47</v>
      </c>
      <c r="D8" s="22">
        <v>13247</v>
      </c>
      <c r="E8" s="22">
        <v>13287</v>
      </c>
      <c r="F8" s="50">
        <v>9926</v>
      </c>
      <c r="G8" s="50">
        <v>9926</v>
      </c>
      <c r="H8" s="50">
        <v>6838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</row>
    <row r="9" spans="1:22" x14ac:dyDescent="0.2">
      <c r="A9" s="1"/>
      <c r="B9" s="46"/>
      <c r="C9" s="46" t="s">
        <v>109</v>
      </c>
      <c r="D9" s="22">
        <v>0</v>
      </c>
      <c r="E9" s="22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1"/>
      <c r="M9" s="50">
        <v>35717</v>
      </c>
      <c r="N9" s="50">
        <v>18113.438660137996</v>
      </c>
      <c r="O9" s="50">
        <v>20479.975326870499</v>
      </c>
      <c r="P9" s="50">
        <v>24133.20939</v>
      </c>
      <c r="Q9" s="50">
        <v>30336.069660000001</v>
      </c>
      <c r="R9" s="50">
        <v>31281.5</v>
      </c>
      <c r="S9" s="50">
        <v>30697.433390000002</v>
      </c>
      <c r="T9" s="50">
        <v>51538.689769999997</v>
      </c>
    </row>
    <row r="10" spans="1:22" x14ac:dyDescent="0.2">
      <c r="A10" s="1"/>
      <c r="B10" s="46"/>
      <c r="C10" s="46" t="s">
        <v>103</v>
      </c>
      <c r="D10" s="22">
        <v>0</v>
      </c>
      <c r="E10" s="22">
        <v>0</v>
      </c>
      <c r="F10" s="50">
        <v>0</v>
      </c>
      <c r="G10" s="50">
        <v>0</v>
      </c>
      <c r="H10" s="50">
        <v>0</v>
      </c>
      <c r="I10" s="50">
        <v>0</v>
      </c>
      <c r="J10" s="50">
        <v>46</v>
      </c>
      <c r="K10" s="50">
        <v>46</v>
      </c>
      <c r="L10" s="50">
        <v>46</v>
      </c>
      <c r="M10" s="50">
        <v>46</v>
      </c>
      <c r="N10" s="50">
        <v>46.145000000000003</v>
      </c>
      <c r="O10" s="50">
        <v>46.144979999935025</v>
      </c>
      <c r="P10" s="50">
        <v>46.145059999962108</v>
      </c>
      <c r="Q10" s="50">
        <v>0</v>
      </c>
      <c r="R10" s="50">
        <v>0</v>
      </c>
      <c r="S10" s="50">
        <v>0</v>
      </c>
      <c r="T10" s="50">
        <v>0</v>
      </c>
    </row>
    <row r="11" spans="1:22" x14ac:dyDescent="0.2">
      <c r="A11" s="1"/>
      <c r="B11" s="46"/>
      <c r="C11" s="46" t="s">
        <v>48</v>
      </c>
      <c r="D11" s="72">
        <v>9309</v>
      </c>
      <c r="E11" s="72">
        <v>14454</v>
      </c>
      <c r="F11" s="72">
        <v>12817</v>
      </c>
      <c r="G11" s="72">
        <v>136375</v>
      </c>
      <c r="H11" s="72">
        <v>276039</v>
      </c>
      <c r="I11" s="72">
        <v>280884</v>
      </c>
      <c r="J11" s="72">
        <v>180862</v>
      </c>
      <c r="K11" s="72">
        <v>170144</v>
      </c>
      <c r="L11" s="72">
        <v>147952</v>
      </c>
      <c r="M11" s="72">
        <v>147519</v>
      </c>
      <c r="N11" s="72">
        <v>123515.78819318797</v>
      </c>
      <c r="O11" s="72">
        <v>97478.985516604196</v>
      </c>
      <c r="P11" s="72">
        <v>93742.753666000019</v>
      </c>
      <c r="Q11" s="72">
        <f>99084.855+46.145</f>
        <v>99131</v>
      </c>
      <c r="R11" s="72">
        <v>130961.4</v>
      </c>
      <c r="S11" s="72">
        <v>95122.728040000031</v>
      </c>
      <c r="T11" s="72">
        <v>155351.22891000001</v>
      </c>
    </row>
    <row r="12" spans="1:22" x14ac:dyDescent="0.2">
      <c r="A12" s="1"/>
      <c r="B12" s="51" t="s">
        <v>49</v>
      </c>
      <c r="C12" s="52"/>
      <c r="D12" s="56">
        <f t="shared" ref="D12:P12" si="0">SUM(D6:D11)</f>
        <v>1657746</v>
      </c>
      <c r="E12" s="56">
        <f t="shared" si="0"/>
        <v>1663223</v>
      </c>
      <c r="F12" s="56">
        <f t="shared" si="0"/>
        <v>1722683</v>
      </c>
      <c r="G12" s="56">
        <f t="shared" si="0"/>
        <v>1871934</v>
      </c>
      <c r="H12" s="56">
        <f t="shared" si="0"/>
        <v>2196072</v>
      </c>
      <c r="I12" s="56">
        <f t="shared" si="0"/>
        <v>2479676</v>
      </c>
      <c r="J12" s="56">
        <f t="shared" si="0"/>
        <v>2529652</v>
      </c>
      <c r="K12" s="56">
        <f t="shared" si="0"/>
        <v>2549975</v>
      </c>
      <c r="L12" s="56">
        <f t="shared" si="0"/>
        <v>2632485</v>
      </c>
      <c r="M12" s="56">
        <f t="shared" si="0"/>
        <v>2806876</v>
      </c>
      <c r="N12" s="56">
        <f t="shared" si="0"/>
        <v>2510055.267068</v>
      </c>
      <c r="O12" s="56">
        <f t="shared" si="0"/>
        <v>1944595.6403622348</v>
      </c>
      <c r="P12" s="56">
        <f t="shared" si="0"/>
        <v>1983274.1517303772</v>
      </c>
      <c r="Q12" s="56">
        <f>SUM(Q6:Q11)</f>
        <v>1959028.06966</v>
      </c>
      <c r="R12" s="56">
        <f>SUM(R6:R11)</f>
        <v>1987717.2999999998</v>
      </c>
      <c r="S12" s="56">
        <f>SUM(S6:S11)</f>
        <v>1939253.1614299999</v>
      </c>
      <c r="T12" s="56">
        <f>SUM(T6:T11)</f>
        <v>2022295.9666415104</v>
      </c>
    </row>
    <row r="13" spans="1:22" x14ac:dyDescent="0.2">
      <c r="A13" s="1"/>
      <c r="B13" s="45" t="s">
        <v>50</v>
      </c>
      <c r="C13" s="46"/>
      <c r="D13" s="22"/>
      <c r="E13" s="22"/>
      <c r="F13" s="50"/>
      <c r="G13" s="50"/>
      <c r="H13" s="22"/>
      <c r="I13" s="22"/>
      <c r="J13" s="22"/>
      <c r="K13" s="22"/>
      <c r="L13" s="19"/>
      <c r="M13" s="19"/>
      <c r="N13" s="19"/>
      <c r="O13" s="19"/>
      <c r="P13" s="19"/>
      <c r="Q13" s="19"/>
      <c r="R13" s="19"/>
      <c r="S13" s="19"/>
      <c r="T13" s="19"/>
    </row>
    <row r="14" spans="1:22" x14ac:dyDescent="0.2">
      <c r="A14" s="1"/>
      <c r="B14" s="45"/>
      <c r="C14" s="46" t="s">
        <v>51</v>
      </c>
      <c r="D14" s="22">
        <v>27858</v>
      </c>
      <c r="E14" s="22">
        <v>33734</v>
      </c>
      <c r="F14" s="50">
        <v>23725</v>
      </c>
      <c r="G14" s="50">
        <v>17992</v>
      </c>
      <c r="H14" s="50">
        <v>23737</v>
      </c>
      <c r="I14" s="50">
        <v>35571</v>
      </c>
      <c r="J14" s="50">
        <v>43059</v>
      </c>
      <c r="K14" s="50">
        <v>34008</v>
      </c>
      <c r="L14" s="50">
        <v>34768</v>
      </c>
      <c r="M14" s="50">
        <v>29752</v>
      </c>
      <c r="N14" s="50">
        <v>32806.654897412045</v>
      </c>
      <c r="O14" s="50">
        <v>32881.645526995781</v>
      </c>
      <c r="P14" s="50">
        <v>40224.400000000001</v>
      </c>
      <c r="Q14" s="50">
        <v>38399</v>
      </c>
      <c r="R14" s="50">
        <v>36937</v>
      </c>
      <c r="S14" s="50">
        <v>33991.881665299996</v>
      </c>
      <c r="T14" s="50">
        <v>37019.134655299975</v>
      </c>
    </row>
    <row r="15" spans="1:22" x14ac:dyDescent="0.2">
      <c r="A15" s="1"/>
      <c r="B15" s="45"/>
      <c r="C15" s="46" t="s">
        <v>109</v>
      </c>
      <c r="D15" s="22">
        <v>0</v>
      </c>
      <c r="E15" s="54">
        <v>0</v>
      </c>
      <c r="F15" s="50">
        <v>0</v>
      </c>
      <c r="G15" s="54">
        <v>0</v>
      </c>
      <c r="H15" s="49">
        <v>0</v>
      </c>
      <c r="I15" s="50">
        <v>0</v>
      </c>
      <c r="J15" s="50">
        <v>0</v>
      </c>
      <c r="K15" s="50">
        <v>0</v>
      </c>
      <c r="L15" s="50">
        <v>38341</v>
      </c>
      <c r="M15" s="50">
        <v>3974</v>
      </c>
      <c r="N15" s="50">
        <v>0</v>
      </c>
      <c r="O15" s="50">
        <v>-1.9560138000088045E-2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</row>
    <row r="16" spans="1:22" x14ac:dyDescent="0.2">
      <c r="A16" s="1"/>
      <c r="B16" s="45"/>
      <c r="C16" s="46" t="s">
        <v>52</v>
      </c>
      <c r="D16" s="22"/>
      <c r="E16" s="54">
        <v>0</v>
      </c>
      <c r="F16" s="50">
        <v>4615</v>
      </c>
      <c r="G16" s="54">
        <v>0</v>
      </c>
      <c r="H16" s="49">
        <v>511</v>
      </c>
      <c r="I16" s="50">
        <v>0</v>
      </c>
      <c r="J16" s="50">
        <v>11689</v>
      </c>
      <c r="K16" s="50">
        <v>10924</v>
      </c>
      <c r="L16" s="50">
        <v>10993</v>
      </c>
      <c r="M16" s="50">
        <v>7129</v>
      </c>
      <c r="N16" s="50">
        <v>2360.0538144349885</v>
      </c>
      <c r="O16" s="50">
        <v>3899.0756648000038</v>
      </c>
      <c r="P16" s="50">
        <v>6382.8282900000004</v>
      </c>
      <c r="Q16" s="50">
        <v>1830</v>
      </c>
      <c r="R16" s="50">
        <v>0</v>
      </c>
      <c r="S16" s="50">
        <v>0</v>
      </c>
      <c r="T16" s="50">
        <v>0</v>
      </c>
    </row>
    <row r="17" spans="1:24" x14ac:dyDescent="0.2">
      <c r="A17" s="1"/>
      <c r="B17" s="45"/>
      <c r="C17" s="46" t="s">
        <v>53</v>
      </c>
      <c r="D17" s="22">
        <v>7968</v>
      </c>
      <c r="E17" s="22">
        <v>19220</v>
      </c>
      <c r="F17" s="50">
        <v>22194</v>
      </c>
      <c r="G17" s="50">
        <v>26913</v>
      </c>
      <c r="H17" s="50">
        <v>27355</v>
      </c>
      <c r="I17" s="50">
        <v>39253</v>
      </c>
      <c r="J17" s="50">
        <v>52402</v>
      </c>
      <c r="K17" s="50">
        <v>53944</v>
      </c>
      <c r="L17" s="50">
        <v>70645</v>
      </c>
      <c r="M17" s="50">
        <v>99649</v>
      </c>
      <c r="N17" s="50">
        <v>73614</v>
      </c>
      <c r="O17" s="50">
        <v>40911.90202622104</v>
      </c>
      <c r="P17" s="50">
        <v>24336.561746736599</v>
      </c>
      <c r="Q17" s="50">
        <v>23579</v>
      </c>
      <c r="R17" s="50">
        <v>13965</v>
      </c>
      <c r="S17" s="50">
        <v>20302.501043800101</v>
      </c>
      <c r="T17" s="50">
        <v>29145.612708749177</v>
      </c>
    </row>
    <row r="18" spans="1:24" x14ac:dyDescent="0.2">
      <c r="A18" s="1"/>
      <c r="B18" s="45"/>
      <c r="C18" s="46" t="s">
        <v>54</v>
      </c>
      <c r="D18" s="22">
        <v>33178</v>
      </c>
      <c r="E18" s="22">
        <v>28555</v>
      </c>
      <c r="F18" s="50">
        <v>35061</v>
      </c>
      <c r="G18" s="50">
        <v>42665</v>
      </c>
      <c r="H18" s="50">
        <v>27714</v>
      </c>
      <c r="I18" s="50">
        <v>61648</v>
      </c>
      <c r="J18" s="50">
        <v>39429</v>
      </c>
      <c r="K18" s="50">
        <v>18547</v>
      </c>
      <c r="L18" s="50">
        <v>11901</v>
      </c>
      <c r="M18" s="50">
        <v>350</v>
      </c>
      <c r="N18" s="50">
        <v>383.12212999997973</v>
      </c>
      <c r="O18" s="50">
        <v>415.47899000000803</v>
      </c>
      <c r="P18" s="50">
        <v>1369.4758000000199</v>
      </c>
      <c r="Q18" s="50">
        <v>1942</v>
      </c>
      <c r="R18" s="50">
        <v>5635</v>
      </c>
      <c r="S18" s="50">
        <v>9518.9811200000149</v>
      </c>
      <c r="T18" s="50">
        <v>10214.713220000014</v>
      </c>
    </row>
    <row r="19" spans="1:24" x14ac:dyDescent="0.2">
      <c r="A19" s="1"/>
      <c r="B19" s="46"/>
      <c r="C19" s="46" t="s">
        <v>55</v>
      </c>
      <c r="D19" s="22">
        <v>4211</v>
      </c>
      <c r="E19" s="22">
        <v>3196</v>
      </c>
      <c r="F19" s="50">
        <v>1361</v>
      </c>
      <c r="G19" s="50">
        <v>335855</v>
      </c>
      <c r="H19" s="50">
        <v>64516</v>
      </c>
      <c r="I19" s="50">
        <v>115075.7537628845</v>
      </c>
      <c r="J19" s="50">
        <v>208996</v>
      </c>
      <c r="K19" s="50">
        <v>300983</v>
      </c>
      <c r="L19" s="50">
        <v>294784</v>
      </c>
      <c r="M19" s="50">
        <v>277953</v>
      </c>
      <c r="N19" s="50">
        <v>243018.10528999998</v>
      </c>
      <c r="O19" s="50">
        <v>241307.87233828599</v>
      </c>
      <c r="P19" s="50">
        <v>257975.57780999999</v>
      </c>
      <c r="Q19" s="50">
        <v>322986</v>
      </c>
      <c r="R19" s="50">
        <v>212224</v>
      </c>
      <c r="S19" s="50">
        <v>184270.2423200006</v>
      </c>
      <c r="T19" s="50">
        <v>252382.76390000066</v>
      </c>
    </row>
    <row r="20" spans="1:24" x14ac:dyDescent="0.2">
      <c r="A20" s="1"/>
      <c r="B20" s="46"/>
      <c r="C20" s="46" t="s">
        <v>135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3254</v>
      </c>
      <c r="S20" s="50">
        <v>0</v>
      </c>
      <c r="T20" s="50">
        <v>3468.43388</v>
      </c>
    </row>
    <row r="21" spans="1:24" x14ac:dyDescent="0.2">
      <c r="A21" s="1"/>
      <c r="B21" s="6"/>
      <c r="C21" s="46" t="s">
        <v>56</v>
      </c>
      <c r="D21" s="22">
        <v>0</v>
      </c>
      <c r="E21" s="22">
        <v>0</v>
      </c>
      <c r="F21" s="50">
        <v>0</v>
      </c>
      <c r="G21" s="50">
        <v>38021</v>
      </c>
      <c r="H21" s="50">
        <v>76449</v>
      </c>
      <c r="I21" s="50">
        <v>100321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4" x14ac:dyDescent="0.2">
      <c r="A22" s="1"/>
      <c r="B22" s="6"/>
      <c r="C22" s="46" t="s">
        <v>57</v>
      </c>
      <c r="D22" s="22">
        <v>9868</v>
      </c>
      <c r="E22" s="22">
        <v>0</v>
      </c>
      <c r="F22" s="50">
        <v>0</v>
      </c>
      <c r="G22" s="50">
        <v>0</v>
      </c>
      <c r="H22" s="22">
        <v>0</v>
      </c>
      <c r="I22" s="55">
        <v>0</v>
      </c>
      <c r="J22" s="55">
        <v>0</v>
      </c>
      <c r="K22" s="55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</row>
    <row r="23" spans="1:24" x14ac:dyDescent="0.2">
      <c r="A23" s="1"/>
      <c r="B23" s="51" t="s">
        <v>58</v>
      </c>
      <c r="C23" s="52"/>
      <c r="D23" s="56">
        <f t="shared" ref="D23:L23" si="1">SUM(D14:D22)</f>
        <v>83083</v>
      </c>
      <c r="E23" s="56">
        <f t="shared" si="1"/>
        <v>84705</v>
      </c>
      <c r="F23" s="56">
        <f t="shared" si="1"/>
        <v>86956</v>
      </c>
      <c r="G23" s="56">
        <f t="shared" si="1"/>
        <v>461446</v>
      </c>
      <c r="H23" s="56">
        <f t="shared" si="1"/>
        <v>220282</v>
      </c>
      <c r="I23" s="56">
        <f t="shared" si="1"/>
        <v>351868.75376288453</v>
      </c>
      <c r="J23" s="56">
        <f t="shared" si="1"/>
        <v>355575</v>
      </c>
      <c r="K23" s="56">
        <f t="shared" si="1"/>
        <v>418406</v>
      </c>
      <c r="L23" s="56">
        <f t="shared" si="1"/>
        <v>461432</v>
      </c>
      <c r="M23" s="56">
        <f t="shared" ref="M23:N23" si="2">SUM(M14:M22)</f>
        <v>418807</v>
      </c>
      <c r="N23" s="56">
        <f t="shared" si="2"/>
        <v>352181.93613184697</v>
      </c>
      <c r="O23" s="56">
        <f t="shared" ref="O23:P23" si="3">SUM(O14:O22)</f>
        <v>319415.95498616481</v>
      </c>
      <c r="P23" s="56">
        <f t="shared" si="3"/>
        <v>330288.84364673658</v>
      </c>
      <c r="Q23" s="56">
        <f>SUM(Q14:Q22)</f>
        <v>388736</v>
      </c>
      <c r="R23" s="56">
        <f>SUM(R14:R22)</f>
        <v>272015</v>
      </c>
      <c r="S23" s="56">
        <f>SUM(S14:S22)</f>
        <v>248083.6061491007</v>
      </c>
      <c r="T23" s="56">
        <f>SUM(T14:T22)</f>
        <v>332230.65836404986</v>
      </c>
    </row>
    <row r="24" spans="1:24" ht="12.75" thickBot="1" x14ac:dyDescent="0.25">
      <c r="A24" s="1"/>
      <c r="B24" s="57" t="s">
        <v>59</v>
      </c>
      <c r="C24" s="58"/>
      <c r="D24" s="59">
        <f t="shared" ref="D24:L24" si="4">D12+D23</f>
        <v>1740829</v>
      </c>
      <c r="E24" s="59">
        <f t="shared" si="4"/>
        <v>1747928</v>
      </c>
      <c r="F24" s="59">
        <f t="shared" si="4"/>
        <v>1809639</v>
      </c>
      <c r="G24" s="59">
        <f t="shared" si="4"/>
        <v>2333380</v>
      </c>
      <c r="H24" s="59">
        <f t="shared" si="4"/>
        <v>2416354</v>
      </c>
      <c r="I24" s="59">
        <f t="shared" si="4"/>
        <v>2831544.7537628845</v>
      </c>
      <c r="J24" s="59">
        <f t="shared" si="4"/>
        <v>2885227</v>
      </c>
      <c r="K24" s="59">
        <f t="shared" si="4"/>
        <v>2968381</v>
      </c>
      <c r="L24" s="59">
        <f t="shared" si="4"/>
        <v>3093917</v>
      </c>
      <c r="M24" s="59">
        <f t="shared" ref="M24:N24" si="5">M12+M23</f>
        <v>3225683</v>
      </c>
      <c r="N24" s="59">
        <f t="shared" si="5"/>
        <v>2862237.2031998471</v>
      </c>
      <c r="O24" s="59">
        <f t="shared" ref="O24:P24" si="6">O12+O23</f>
        <v>2264011.5953483996</v>
      </c>
      <c r="P24" s="59">
        <f t="shared" si="6"/>
        <v>2313562.995377114</v>
      </c>
      <c r="Q24" s="59">
        <f>Q12+Q23</f>
        <v>2347764.06966</v>
      </c>
      <c r="R24" s="59">
        <f>R12+R23</f>
        <v>2259732.2999999998</v>
      </c>
      <c r="S24" s="59">
        <f>S12+S23</f>
        <v>2187336.7675791006</v>
      </c>
      <c r="T24" s="59">
        <f>T12+T23</f>
        <v>2354526.62500556</v>
      </c>
    </row>
    <row r="25" spans="1:24" x14ac:dyDescent="0.2">
      <c r="A25" s="1"/>
      <c r="B25" s="46"/>
      <c r="C25" s="46"/>
      <c r="D25" s="22"/>
      <c r="E25" s="22"/>
      <c r="F25" s="50"/>
      <c r="G25" s="50"/>
      <c r="H25" s="22"/>
      <c r="I25" s="22"/>
      <c r="J25" s="22"/>
      <c r="K25" s="22"/>
      <c r="L25" s="19"/>
      <c r="M25" s="19"/>
      <c r="N25" s="19"/>
      <c r="O25" s="19"/>
      <c r="P25" s="19"/>
      <c r="Q25" s="19"/>
      <c r="R25" s="19"/>
      <c r="S25" s="19"/>
      <c r="T25" s="19"/>
      <c r="X25" s="38"/>
    </row>
    <row r="26" spans="1:24" x14ac:dyDescent="0.2">
      <c r="A26" s="1"/>
      <c r="B26" s="45" t="s">
        <v>60</v>
      </c>
      <c r="C26" s="46"/>
      <c r="D26" s="22"/>
      <c r="E26" s="22"/>
      <c r="F26" s="50"/>
      <c r="G26" s="50"/>
      <c r="H26" s="22"/>
      <c r="I26" s="22"/>
      <c r="J26" s="22"/>
      <c r="K26" s="22"/>
      <c r="L26" s="19"/>
      <c r="M26" s="19"/>
      <c r="N26" s="19"/>
      <c r="O26" s="19"/>
      <c r="P26" s="19"/>
      <c r="Q26" s="19"/>
      <c r="R26" s="19"/>
      <c r="S26" s="19"/>
      <c r="T26" s="19"/>
    </row>
    <row r="27" spans="1:24" x14ac:dyDescent="0.2">
      <c r="A27" s="1"/>
      <c r="B27" s="45" t="s">
        <v>61</v>
      </c>
      <c r="C27" s="46"/>
      <c r="D27" s="22"/>
      <c r="E27" s="22"/>
      <c r="F27" s="50"/>
      <c r="G27" s="50"/>
      <c r="H27" s="22"/>
      <c r="I27" s="22"/>
      <c r="J27" s="22"/>
      <c r="K27" s="22"/>
      <c r="L27" s="19"/>
      <c r="M27" s="19"/>
      <c r="N27" s="19"/>
      <c r="O27" s="19"/>
      <c r="P27" s="73"/>
      <c r="Q27" s="73"/>
      <c r="R27" s="73"/>
      <c r="S27" s="73"/>
      <c r="T27" s="73"/>
    </row>
    <row r="28" spans="1:24" x14ac:dyDescent="0.2">
      <c r="A28" s="1"/>
      <c r="B28" s="46"/>
      <c r="C28" s="46" t="s">
        <v>62</v>
      </c>
      <c r="D28" s="22">
        <v>935588</v>
      </c>
      <c r="E28" s="22">
        <v>933635</v>
      </c>
      <c r="F28" s="50">
        <v>967207</v>
      </c>
      <c r="G28" s="50">
        <v>985376</v>
      </c>
      <c r="H28" s="50">
        <v>1000463</v>
      </c>
      <c r="I28" s="50">
        <v>1049751</v>
      </c>
      <c r="J28" s="50">
        <v>1050075</v>
      </c>
      <c r="K28" s="50">
        <v>1052202</v>
      </c>
      <c r="L28" s="50">
        <v>1052605</v>
      </c>
      <c r="M28" s="50">
        <v>1053004</v>
      </c>
      <c r="N28" s="50">
        <v>1053271.0050499998</v>
      </c>
      <c r="O28" s="50">
        <v>1053713.6245499998</v>
      </c>
      <c r="P28" s="50">
        <v>1053371.02498</v>
      </c>
      <c r="Q28" s="50">
        <v>1053935.6703600001</v>
      </c>
      <c r="R28" s="50">
        <v>1054805.4349199999</v>
      </c>
      <c r="S28" s="50">
        <v>1053935.6703600001</v>
      </c>
      <c r="T28" s="50">
        <v>1055030.9470900001</v>
      </c>
    </row>
    <row r="29" spans="1:24" x14ac:dyDescent="0.2">
      <c r="A29" s="1"/>
      <c r="B29" s="46"/>
      <c r="C29" s="46" t="s">
        <v>63</v>
      </c>
      <c r="D29" s="22">
        <v>9397</v>
      </c>
      <c r="E29" s="22">
        <v>33752</v>
      </c>
      <c r="F29" s="50">
        <v>25311</v>
      </c>
      <c r="G29" s="50">
        <v>35404</v>
      </c>
      <c r="H29" s="50">
        <v>38043</v>
      </c>
      <c r="I29" s="50">
        <v>31673</v>
      </c>
      <c r="J29" s="50">
        <v>31673</v>
      </c>
      <c r="K29" s="50">
        <v>34214</v>
      </c>
      <c r="L29" s="50">
        <v>34214</v>
      </c>
      <c r="M29" s="50">
        <v>98312</v>
      </c>
      <c r="N29" s="50">
        <v>98191.91214</v>
      </c>
      <c r="O29" s="50">
        <v>100244.41773</v>
      </c>
      <c r="P29" s="50">
        <v>100322.05257</v>
      </c>
      <c r="Q29" s="50">
        <v>100322.45256999999</v>
      </c>
      <c r="R29" s="50">
        <v>100584.6</v>
      </c>
      <c r="S29" s="50">
        <v>100322.05257</v>
      </c>
      <c r="T29" s="50">
        <v>100600.96219999999</v>
      </c>
    </row>
    <row r="30" spans="1:24" x14ac:dyDescent="0.2">
      <c r="A30" s="1"/>
      <c r="B30" s="46"/>
      <c r="C30" s="46" t="s">
        <v>64</v>
      </c>
      <c r="D30" s="22">
        <v>484332.05</v>
      </c>
      <c r="E30" s="22">
        <v>576357</v>
      </c>
      <c r="F30" s="50">
        <v>556165</v>
      </c>
      <c r="G30" s="50">
        <v>612261</v>
      </c>
      <c r="H30" s="50">
        <v>763502</v>
      </c>
      <c r="I30" s="50">
        <v>449376.2</v>
      </c>
      <c r="J30" s="50">
        <v>487379</v>
      </c>
      <c r="K30" s="50">
        <v>476335</v>
      </c>
      <c r="L30" s="50">
        <v>384391.47</v>
      </c>
      <c r="M30" s="50">
        <v>447960</v>
      </c>
      <c r="N30" s="50">
        <v>93385.124733246194</v>
      </c>
      <c r="O30" s="50">
        <v>-624742.40203671204</v>
      </c>
      <c r="P30" s="50">
        <v>-630327.92462619604</v>
      </c>
      <c r="Q30" s="50">
        <v>-794972</v>
      </c>
      <c r="R30" s="50">
        <v>-742261.18583367986</v>
      </c>
      <c r="S30" s="50">
        <v>-827006.13574049179</v>
      </c>
      <c r="T30" s="50">
        <v>-581017</v>
      </c>
    </row>
    <row r="31" spans="1:24" x14ac:dyDescent="0.2">
      <c r="A31" s="1"/>
      <c r="B31" s="51" t="s">
        <v>65</v>
      </c>
      <c r="C31" s="52"/>
      <c r="D31" s="56">
        <f t="shared" ref="D31:K31" si="7">SUM(D28:D30)</f>
        <v>1429317.05</v>
      </c>
      <c r="E31" s="56">
        <f t="shared" si="7"/>
        <v>1543744</v>
      </c>
      <c r="F31" s="56">
        <f t="shared" si="7"/>
        <v>1548683</v>
      </c>
      <c r="G31" s="56">
        <f t="shared" si="7"/>
        <v>1633041</v>
      </c>
      <c r="H31" s="56">
        <f>SUM(H28:H30)</f>
        <v>1802008</v>
      </c>
      <c r="I31" s="56">
        <f t="shared" si="7"/>
        <v>1530800.2</v>
      </c>
      <c r="J31" s="56">
        <f t="shared" si="7"/>
        <v>1569127</v>
      </c>
      <c r="K31" s="56">
        <f t="shared" si="7"/>
        <v>1562751</v>
      </c>
      <c r="L31" s="56">
        <f>SUM(L28:L30)</f>
        <v>1471210.47</v>
      </c>
      <c r="M31" s="56">
        <f t="shared" ref="M31:N31" si="8">SUM(M28:M30)</f>
        <v>1599276</v>
      </c>
      <c r="N31" s="56">
        <f t="shared" si="8"/>
        <v>1244848.0419232459</v>
      </c>
      <c r="O31" s="56">
        <f t="shared" ref="O31:P31" si="9">SUM(O28:O30)</f>
        <v>529215.6402432879</v>
      </c>
      <c r="P31" s="56">
        <f t="shared" si="9"/>
        <v>523365.15292380401</v>
      </c>
      <c r="Q31" s="56">
        <f>SUM(Q28:Q30)</f>
        <v>359286.12293000007</v>
      </c>
      <c r="R31" s="56">
        <f>SUM(R28:R30)</f>
        <v>413128.84908632014</v>
      </c>
      <c r="S31" s="56">
        <f>SUM(S28:S30)</f>
        <v>327251.58718950837</v>
      </c>
      <c r="T31" s="56">
        <f>SUM(T28:T30)</f>
        <v>574614.9092900001</v>
      </c>
    </row>
    <row r="32" spans="1:24" x14ac:dyDescent="0.2">
      <c r="A32" s="1"/>
      <c r="B32" s="45" t="s">
        <v>66</v>
      </c>
      <c r="C32" s="46"/>
      <c r="D32" s="22"/>
      <c r="E32" s="22"/>
      <c r="F32" s="50"/>
      <c r="G32" s="50"/>
      <c r="H32" s="22"/>
      <c r="I32" s="22"/>
      <c r="J32" s="22"/>
      <c r="K32" s="22"/>
      <c r="L32" s="19"/>
      <c r="M32" s="19"/>
      <c r="N32" s="19"/>
      <c r="O32" s="19"/>
      <c r="P32" s="50"/>
      <c r="Q32" s="50"/>
      <c r="R32" s="50"/>
      <c r="S32" s="50"/>
      <c r="T32" s="50"/>
    </row>
    <row r="33" spans="1:20" x14ac:dyDescent="0.2">
      <c r="A33" s="1"/>
      <c r="B33" s="46"/>
      <c r="C33" s="46" t="s">
        <v>67</v>
      </c>
      <c r="D33" s="60">
        <v>7068</v>
      </c>
      <c r="E33" s="60">
        <v>3701</v>
      </c>
      <c r="F33" s="50">
        <v>24900</v>
      </c>
      <c r="G33" s="50">
        <v>438383</v>
      </c>
      <c r="H33" s="50">
        <v>414063</v>
      </c>
      <c r="I33" s="50">
        <v>870934</v>
      </c>
      <c r="J33" s="50">
        <v>913194</v>
      </c>
      <c r="K33" s="50">
        <v>929373</v>
      </c>
      <c r="L33" s="50">
        <v>1193301</v>
      </c>
      <c r="M33" s="50">
        <v>1361602</v>
      </c>
      <c r="N33" s="50">
        <v>1374362.6625699999</v>
      </c>
      <c r="O33" s="50">
        <v>1336665.3979500001</v>
      </c>
      <c r="P33" s="50">
        <v>1500687.1689500001</v>
      </c>
      <c r="Q33" s="50">
        <v>1702979.7251500001</v>
      </c>
      <c r="R33" s="50">
        <v>1590817.0948099999</v>
      </c>
      <c r="S33" s="50">
        <v>1634584.1624200002</v>
      </c>
      <c r="T33" s="50">
        <v>1499050.35167</v>
      </c>
    </row>
    <row r="34" spans="1:20" x14ac:dyDescent="0.2">
      <c r="A34" s="1"/>
      <c r="B34" s="46"/>
      <c r="C34" s="46" t="s">
        <v>136</v>
      </c>
      <c r="D34" s="60">
        <v>0</v>
      </c>
      <c r="E34" s="60">
        <v>0</v>
      </c>
      <c r="F34" s="50">
        <v>0</v>
      </c>
      <c r="G34" s="50">
        <v>0</v>
      </c>
      <c r="H34" s="50">
        <v>0</v>
      </c>
      <c r="I34" s="50">
        <v>231592</v>
      </c>
      <c r="J34" s="50">
        <v>231592</v>
      </c>
      <c r="K34" s="50">
        <v>229377.37400000001</v>
      </c>
      <c r="L34" s="50">
        <v>221788</v>
      </c>
      <c r="M34" s="50">
        <v>73809</v>
      </c>
      <c r="N34" s="50">
        <v>46594</v>
      </c>
      <c r="O34" s="50">
        <v>46593.573499999999</v>
      </c>
      <c r="P34" s="50">
        <v>46593.073499999999</v>
      </c>
      <c r="Q34" s="50">
        <v>46593.8</v>
      </c>
      <c r="R34" s="50">
        <v>46593.573499999999</v>
      </c>
      <c r="S34" s="50">
        <v>46593.573499999999</v>
      </c>
      <c r="T34" s="50">
        <v>46593.573499999999</v>
      </c>
    </row>
    <row r="35" spans="1:20" x14ac:dyDescent="0.2">
      <c r="A35" s="1"/>
      <c r="B35" s="46"/>
      <c r="C35" s="46" t="s">
        <v>68</v>
      </c>
      <c r="D35" s="50">
        <v>0</v>
      </c>
      <c r="E35" s="50">
        <v>0</v>
      </c>
      <c r="F35" s="50">
        <v>28853</v>
      </c>
      <c r="G35" s="50">
        <v>45</v>
      </c>
      <c r="H35" s="50">
        <v>45</v>
      </c>
      <c r="I35" s="50">
        <v>51.553762884344906</v>
      </c>
      <c r="J35" s="50">
        <v>52</v>
      </c>
      <c r="K35" s="50">
        <v>52</v>
      </c>
      <c r="L35" s="50">
        <v>52</v>
      </c>
      <c r="M35" s="50">
        <v>0</v>
      </c>
      <c r="N35" s="50">
        <v>0</v>
      </c>
      <c r="O35" s="50">
        <v>0</v>
      </c>
      <c r="P35" s="50">
        <v>0</v>
      </c>
      <c r="Q35" s="50">
        <v>53535</v>
      </c>
      <c r="R35" s="50">
        <v>56197.938875834298</v>
      </c>
      <c r="S35" s="50">
        <v>42186.398990694201</v>
      </c>
      <c r="T35" s="50">
        <v>56196.438875834298</v>
      </c>
    </row>
    <row r="36" spans="1:20" x14ac:dyDescent="0.2">
      <c r="A36" s="1"/>
      <c r="B36" s="46"/>
      <c r="C36" s="46" t="s">
        <v>69</v>
      </c>
      <c r="D36" s="60">
        <v>106525.95</v>
      </c>
      <c r="E36" s="60">
        <v>81783</v>
      </c>
      <c r="F36" s="50">
        <v>74817</v>
      </c>
      <c r="G36" s="50">
        <v>66521</v>
      </c>
      <c r="H36" s="50">
        <v>60925</v>
      </c>
      <c r="I36" s="50">
        <v>57302</v>
      </c>
      <c r="J36" s="50">
        <v>58436</v>
      </c>
      <c r="K36" s="50">
        <v>59998</v>
      </c>
      <c r="L36" s="50">
        <v>43928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</row>
    <row r="37" spans="1:20" x14ac:dyDescent="0.2">
      <c r="A37" s="1"/>
      <c r="B37" s="51" t="s">
        <v>70</v>
      </c>
      <c r="C37" s="52"/>
      <c r="D37" s="56">
        <f t="shared" ref="D37:T37" si="10">SUM(D33:D36)</f>
        <v>113593.95</v>
      </c>
      <c r="E37" s="56">
        <f t="shared" si="10"/>
        <v>85484</v>
      </c>
      <c r="F37" s="56">
        <f t="shared" si="10"/>
        <v>128570</v>
      </c>
      <c r="G37" s="56">
        <f t="shared" si="10"/>
        <v>504949</v>
      </c>
      <c r="H37" s="56">
        <f t="shared" si="10"/>
        <v>475033</v>
      </c>
      <c r="I37" s="56">
        <f t="shared" si="10"/>
        <v>1159879.5537628843</v>
      </c>
      <c r="J37" s="56">
        <f t="shared" si="10"/>
        <v>1203274</v>
      </c>
      <c r="K37" s="56">
        <f t="shared" si="10"/>
        <v>1218800.3740000001</v>
      </c>
      <c r="L37" s="56">
        <f t="shared" si="10"/>
        <v>1459069</v>
      </c>
      <c r="M37" s="56">
        <f t="shared" si="10"/>
        <v>1435411</v>
      </c>
      <c r="N37" s="56">
        <f t="shared" si="10"/>
        <v>1420956.6625699999</v>
      </c>
      <c r="O37" s="56">
        <f t="shared" si="10"/>
        <v>1383258.9714500001</v>
      </c>
      <c r="P37" s="56">
        <f t="shared" si="10"/>
        <v>1547280.24245</v>
      </c>
      <c r="Q37" s="56">
        <f t="shared" si="10"/>
        <v>1803108.5251500001</v>
      </c>
      <c r="R37" s="56">
        <f t="shared" si="10"/>
        <v>1693608.6071858341</v>
      </c>
      <c r="S37" s="56">
        <f t="shared" si="10"/>
        <v>1723364.1349106943</v>
      </c>
      <c r="T37" s="56">
        <f t="shared" si="10"/>
        <v>1601840.3640458342</v>
      </c>
    </row>
    <row r="38" spans="1:20" x14ac:dyDescent="0.2">
      <c r="A38" s="1"/>
      <c r="B38" s="45" t="s">
        <v>71</v>
      </c>
      <c r="C38" s="46"/>
      <c r="D38" s="22"/>
      <c r="E38" s="22"/>
      <c r="F38" s="50"/>
      <c r="G38" s="50"/>
      <c r="H38" s="22"/>
      <c r="I38" s="22"/>
      <c r="J38" s="22"/>
      <c r="K38" s="22"/>
      <c r="L38" s="50"/>
      <c r="M38" s="50"/>
      <c r="N38" s="50"/>
      <c r="O38" s="50"/>
      <c r="P38" s="50"/>
      <c r="Q38" s="50"/>
      <c r="R38" s="50"/>
      <c r="S38" s="50"/>
      <c r="T38" s="50"/>
    </row>
    <row r="39" spans="1:20" x14ac:dyDescent="0.2">
      <c r="A39" s="1"/>
      <c r="B39" s="45"/>
      <c r="C39" s="46" t="s">
        <v>67</v>
      </c>
      <c r="D39" s="60">
        <v>3832</v>
      </c>
      <c r="E39" s="60">
        <v>18379</v>
      </c>
      <c r="F39" s="50">
        <v>3855</v>
      </c>
      <c r="G39" s="50">
        <v>19259</v>
      </c>
      <c r="H39" s="50">
        <v>18607</v>
      </c>
      <c r="I39" s="50">
        <v>33420</v>
      </c>
      <c r="J39" s="50">
        <v>33747</v>
      </c>
      <c r="K39" s="50">
        <v>87330</v>
      </c>
      <c r="L39" s="50">
        <v>44855</v>
      </c>
      <c r="M39" s="50">
        <v>57172</v>
      </c>
      <c r="N39" s="50">
        <v>58808.983989999993</v>
      </c>
      <c r="O39" s="50">
        <v>134193.96492999999</v>
      </c>
      <c r="P39" s="50">
        <v>64944.449379999998</v>
      </c>
      <c r="Q39" s="50">
        <v>74356.327809999988</v>
      </c>
      <c r="R39" s="50">
        <v>16015.49325</v>
      </c>
      <c r="S39" s="50">
        <v>16203.102601866003</v>
      </c>
      <c r="T39" s="50">
        <v>15091.944920000004</v>
      </c>
    </row>
    <row r="40" spans="1:20" x14ac:dyDescent="0.2">
      <c r="A40" s="1"/>
      <c r="B40" s="46"/>
      <c r="C40" s="46" t="s">
        <v>82</v>
      </c>
      <c r="D40" s="22">
        <v>32711</v>
      </c>
      <c r="E40" s="22">
        <v>41877</v>
      </c>
      <c r="F40" s="50">
        <v>66035</v>
      </c>
      <c r="G40" s="50">
        <v>61886</v>
      </c>
      <c r="H40" s="50">
        <v>45954</v>
      </c>
      <c r="I40" s="50">
        <v>81645</v>
      </c>
      <c r="J40" s="50">
        <v>56161</v>
      </c>
      <c r="K40" s="50">
        <v>78480</v>
      </c>
      <c r="L40" s="50">
        <v>89258</v>
      </c>
      <c r="M40" s="50">
        <v>109638</v>
      </c>
      <c r="N40" s="50">
        <v>112220.96434570519</v>
      </c>
      <c r="O40" s="50">
        <v>191609.93329906263</v>
      </c>
      <c r="P40" s="50">
        <v>149863.78530429999</v>
      </c>
      <c r="Q40" s="50">
        <v>82331</v>
      </c>
      <c r="R40" s="50">
        <v>105873.4</v>
      </c>
      <c r="S40" s="50">
        <v>86819.092652452076</v>
      </c>
      <c r="T40" s="50">
        <v>122817.35869381683</v>
      </c>
    </row>
    <row r="41" spans="1:20" x14ac:dyDescent="0.2">
      <c r="A41" s="1"/>
      <c r="B41" s="46"/>
      <c r="C41" s="46" t="s">
        <v>72</v>
      </c>
      <c r="D41" s="22">
        <v>32389</v>
      </c>
      <c r="E41" s="22">
        <v>25881</v>
      </c>
      <c r="F41" s="50">
        <v>26636</v>
      </c>
      <c r="G41" s="50">
        <v>29241.000000000004</v>
      </c>
      <c r="H41" s="50">
        <v>13188</v>
      </c>
      <c r="I41" s="50">
        <v>12956</v>
      </c>
      <c r="J41" s="50">
        <v>11917</v>
      </c>
      <c r="K41" s="50">
        <v>8466.6259999999893</v>
      </c>
      <c r="L41" s="50">
        <v>8009</v>
      </c>
      <c r="M41" s="50">
        <v>8399</v>
      </c>
      <c r="N41" s="50">
        <v>7591.684030000004</v>
      </c>
      <c r="O41" s="50">
        <v>5317.3590300000005</v>
      </c>
      <c r="P41" s="50">
        <v>4895.7703000000001</v>
      </c>
      <c r="Q41" s="50">
        <v>4733.5122299999994</v>
      </c>
      <c r="R41" s="50">
        <v>4718.1659600000003</v>
      </c>
      <c r="S41" s="50">
        <v>4733.52423</v>
      </c>
      <c r="T41" s="50">
        <v>4711.5872600000012</v>
      </c>
    </row>
    <row r="42" spans="1:20" x14ac:dyDescent="0.2">
      <c r="A42" s="1"/>
      <c r="B42" s="46"/>
      <c r="C42" s="46" t="s">
        <v>73</v>
      </c>
      <c r="D42" s="22">
        <v>7414</v>
      </c>
      <c r="E42" s="22">
        <v>7904</v>
      </c>
      <c r="F42" s="50">
        <v>6088</v>
      </c>
      <c r="G42" s="50">
        <v>21597</v>
      </c>
      <c r="H42" s="50">
        <v>20273</v>
      </c>
      <c r="I42" s="50">
        <v>4132</v>
      </c>
      <c r="J42" s="50">
        <v>6154</v>
      </c>
      <c r="K42" s="50">
        <v>6447</v>
      </c>
      <c r="L42" s="50">
        <v>8325</v>
      </c>
      <c r="M42" s="50">
        <v>8547</v>
      </c>
      <c r="N42" s="50">
        <v>7953.4839658127494</v>
      </c>
      <c r="O42" s="50">
        <v>11356.422536742306</v>
      </c>
      <c r="P42" s="50">
        <v>16026.572355344762</v>
      </c>
      <c r="Q42" s="50">
        <v>16551.4211853448</v>
      </c>
      <c r="R42" s="50">
        <v>14396.608456803875</v>
      </c>
      <c r="S42" s="50">
        <v>19552.89813680388</v>
      </c>
      <c r="T42" s="50">
        <v>14438.970687757721</v>
      </c>
    </row>
    <row r="43" spans="1:20" x14ac:dyDescent="0.2">
      <c r="A43" s="1"/>
      <c r="B43" s="46"/>
      <c r="C43" s="46" t="s">
        <v>74</v>
      </c>
      <c r="D43" s="22">
        <v>13466</v>
      </c>
      <c r="E43" s="22">
        <v>14226</v>
      </c>
      <c r="F43" s="50">
        <v>21794</v>
      </c>
      <c r="G43" s="50">
        <v>27236</v>
      </c>
      <c r="H43" s="50">
        <v>26867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</row>
    <row r="44" spans="1:20" x14ac:dyDescent="0.2">
      <c r="A44" s="1"/>
      <c r="B44" s="46"/>
      <c r="C44" s="46" t="s">
        <v>104</v>
      </c>
      <c r="D44" s="22">
        <v>0</v>
      </c>
      <c r="E44" s="22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2762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-476.15440000000001</v>
      </c>
    </row>
    <row r="45" spans="1:20" x14ac:dyDescent="0.2">
      <c r="A45" s="1"/>
      <c r="B45" s="46"/>
      <c r="C45" s="46" t="s">
        <v>75</v>
      </c>
      <c r="D45" s="22">
        <v>105905</v>
      </c>
      <c r="E45" s="22">
        <v>6492</v>
      </c>
      <c r="F45" s="50">
        <v>7978</v>
      </c>
      <c r="G45" s="50">
        <v>15018.000000000002</v>
      </c>
      <c r="H45" s="50">
        <v>14424</v>
      </c>
      <c r="I45" s="50">
        <v>7170</v>
      </c>
      <c r="J45" s="50">
        <v>4847</v>
      </c>
      <c r="K45" s="50">
        <v>6106</v>
      </c>
      <c r="L45" s="50">
        <v>10429</v>
      </c>
      <c r="M45" s="50">
        <v>7240</v>
      </c>
      <c r="N45" s="50">
        <v>9856.9336392999994</v>
      </c>
      <c r="O45" s="50">
        <v>9059.7914400000009</v>
      </c>
      <c r="P45" s="50">
        <v>7187.2711599999893</v>
      </c>
      <c r="Q45" s="50">
        <v>7397.1544000000004</v>
      </c>
      <c r="R45" s="50">
        <v>8476</v>
      </c>
      <c r="S45" s="50">
        <v>9178.4486200000101</v>
      </c>
      <c r="T45" s="50">
        <v>11211.665950000031</v>
      </c>
    </row>
    <row r="46" spans="1:20" x14ac:dyDescent="0.2">
      <c r="A46" s="1"/>
      <c r="B46" s="46"/>
      <c r="C46" s="46" t="s">
        <v>76</v>
      </c>
      <c r="D46" s="22">
        <v>2201</v>
      </c>
      <c r="E46" s="22">
        <v>3941</v>
      </c>
      <c r="F46" s="50">
        <v>0</v>
      </c>
      <c r="G46" s="50">
        <v>21153</v>
      </c>
      <c r="H46" s="50">
        <v>0</v>
      </c>
      <c r="I46" s="50">
        <v>1542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3514.5</v>
      </c>
      <c r="S46" s="50">
        <v>233.77056560000278</v>
      </c>
      <c r="T46" s="50">
        <v>10276.449690000009</v>
      </c>
    </row>
    <row r="47" spans="1:20" x14ac:dyDescent="0.2">
      <c r="A47" s="1"/>
      <c r="B47" s="51" t="s">
        <v>77</v>
      </c>
      <c r="C47" s="52"/>
      <c r="D47" s="56">
        <f t="shared" ref="D47:T47" si="11">SUM(D39:D46)</f>
        <v>197918</v>
      </c>
      <c r="E47" s="56">
        <f t="shared" si="11"/>
        <v>118700</v>
      </c>
      <c r="F47" s="56">
        <f t="shared" si="11"/>
        <v>132386</v>
      </c>
      <c r="G47" s="56">
        <f t="shared" si="11"/>
        <v>195390</v>
      </c>
      <c r="H47" s="56">
        <f t="shared" si="11"/>
        <v>139313</v>
      </c>
      <c r="I47" s="56">
        <f t="shared" si="11"/>
        <v>140865</v>
      </c>
      <c r="J47" s="56">
        <f t="shared" si="11"/>
        <v>112826</v>
      </c>
      <c r="K47" s="56">
        <f t="shared" si="11"/>
        <v>186829.62599999999</v>
      </c>
      <c r="L47" s="56">
        <f t="shared" si="11"/>
        <v>163638</v>
      </c>
      <c r="M47" s="56">
        <f t="shared" si="11"/>
        <v>190996</v>
      </c>
      <c r="N47" s="56">
        <f t="shared" si="11"/>
        <v>196432.04997081793</v>
      </c>
      <c r="O47" s="56">
        <f t="shared" si="11"/>
        <v>351537.4712358049</v>
      </c>
      <c r="P47" s="56">
        <f t="shared" si="11"/>
        <v>242917.84849964478</v>
      </c>
      <c r="Q47" s="56">
        <f t="shared" si="11"/>
        <v>185369.41562534479</v>
      </c>
      <c r="R47" s="56">
        <f t="shared" si="11"/>
        <v>152994.16766680387</v>
      </c>
      <c r="S47" s="56">
        <f t="shared" si="11"/>
        <v>136720.83680672196</v>
      </c>
      <c r="T47" s="56">
        <f t="shared" si="11"/>
        <v>178071.82280157457</v>
      </c>
    </row>
    <row r="48" spans="1:20" x14ac:dyDescent="0.2">
      <c r="A48" s="1"/>
      <c r="B48" s="51" t="s">
        <v>78</v>
      </c>
      <c r="C48" s="52"/>
      <c r="D48" s="53">
        <f t="shared" ref="D48:T48" si="12">D37+D47</f>
        <v>311511.95</v>
      </c>
      <c r="E48" s="53">
        <f t="shared" si="12"/>
        <v>204184</v>
      </c>
      <c r="F48" s="53">
        <f t="shared" si="12"/>
        <v>260956</v>
      </c>
      <c r="G48" s="53">
        <f t="shared" si="12"/>
        <v>700339</v>
      </c>
      <c r="H48" s="53">
        <f t="shared" si="12"/>
        <v>614346</v>
      </c>
      <c r="I48" s="53">
        <f t="shared" si="12"/>
        <v>1300744.5537628843</v>
      </c>
      <c r="J48" s="53">
        <f t="shared" si="12"/>
        <v>1316100</v>
      </c>
      <c r="K48" s="53">
        <f t="shared" si="12"/>
        <v>1405630</v>
      </c>
      <c r="L48" s="53">
        <f t="shared" si="12"/>
        <v>1622707</v>
      </c>
      <c r="M48" s="53">
        <f t="shared" si="12"/>
        <v>1626407</v>
      </c>
      <c r="N48" s="53">
        <f t="shared" si="12"/>
        <v>1617388.7125408179</v>
      </c>
      <c r="O48" s="53">
        <f t="shared" si="12"/>
        <v>1734796.442685805</v>
      </c>
      <c r="P48" s="53">
        <f t="shared" si="12"/>
        <v>1790198.0909496448</v>
      </c>
      <c r="Q48" s="53">
        <f t="shared" si="12"/>
        <v>1988477.9407753448</v>
      </c>
      <c r="R48" s="53">
        <f t="shared" si="12"/>
        <v>1846602.7748526379</v>
      </c>
      <c r="S48" s="53">
        <f t="shared" si="12"/>
        <v>1860084.9717174163</v>
      </c>
      <c r="T48" s="53">
        <f t="shared" si="12"/>
        <v>1779912.1868474088</v>
      </c>
    </row>
    <row r="49" spans="1:20" x14ac:dyDescent="0.2">
      <c r="A49" s="1"/>
      <c r="B49" s="46"/>
      <c r="C49" s="46"/>
      <c r="D49" s="22"/>
      <c r="E49" s="22"/>
      <c r="F49" s="61"/>
      <c r="G49" s="61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</row>
    <row r="50" spans="1:20" x14ac:dyDescent="0.2">
      <c r="A50" s="1"/>
      <c r="B50" s="130" t="s">
        <v>79</v>
      </c>
      <c r="C50" s="131"/>
      <c r="D50" s="132">
        <f t="shared" ref="D50:T50" si="13">D31+D48</f>
        <v>1740829</v>
      </c>
      <c r="E50" s="132">
        <f t="shared" si="13"/>
        <v>1747928</v>
      </c>
      <c r="F50" s="132">
        <f t="shared" si="13"/>
        <v>1809639</v>
      </c>
      <c r="G50" s="132">
        <f t="shared" si="13"/>
        <v>2333380</v>
      </c>
      <c r="H50" s="132">
        <f t="shared" si="13"/>
        <v>2416354</v>
      </c>
      <c r="I50" s="132">
        <f t="shared" si="13"/>
        <v>2831544.7537628841</v>
      </c>
      <c r="J50" s="132">
        <f t="shared" si="13"/>
        <v>2885227</v>
      </c>
      <c r="K50" s="132">
        <f t="shared" si="13"/>
        <v>2968381</v>
      </c>
      <c r="L50" s="132">
        <f t="shared" si="13"/>
        <v>3093917.4699999997</v>
      </c>
      <c r="M50" s="132">
        <f t="shared" si="13"/>
        <v>3225683</v>
      </c>
      <c r="N50" s="132">
        <f t="shared" si="13"/>
        <v>2862236.7544640638</v>
      </c>
      <c r="O50" s="132">
        <f t="shared" si="13"/>
        <v>2264012.0829290929</v>
      </c>
      <c r="P50" s="132">
        <f t="shared" si="13"/>
        <v>2313563.243873449</v>
      </c>
      <c r="Q50" s="132">
        <f t="shared" si="13"/>
        <v>2347764.0637053447</v>
      </c>
      <c r="R50" s="132">
        <f t="shared" si="13"/>
        <v>2259731.6239389582</v>
      </c>
      <c r="S50" s="132">
        <f t="shared" si="13"/>
        <v>2187336.5589069249</v>
      </c>
      <c r="T50" s="132">
        <f t="shared" si="13"/>
        <v>2354527.0961374091</v>
      </c>
    </row>
    <row r="51" spans="1:20" x14ac:dyDescent="0.2">
      <c r="P51" s="72"/>
      <c r="Q51" s="72"/>
      <c r="R51" s="72"/>
    </row>
    <row r="52" spans="1:20" x14ac:dyDescent="0.2">
      <c r="L52" s="133"/>
      <c r="M52" s="133"/>
      <c r="N52" s="133"/>
      <c r="O52" s="133"/>
      <c r="P52" s="72"/>
      <c r="Q52" s="72"/>
      <c r="R52" s="72"/>
      <c r="T52" s="134"/>
    </row>
  </sheetData>
  <mergeCells count="1">
    <mergeCell ref="D2:T2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4"/>
  <sheetViews>
    <sheetView showGridLines="0"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2.85546875" style="125" customWidth="1"/>
    <col min="2" max="2" width="56" style="125" bestFit="1" customWidth="1"/>
    <col min="3" max="15" width="9.140625" style="125" bestFit="1" customWidth="1"/>
    <col min="16" max="16" width="11.7109375" style="125" customWidth="1"/>
    <col min="17" max="17" width="12" style="125" bestFit="1" customWidth="1"/>
    <col min="18" max="18" width="11" style="125" customWidth="1"/>
    <col min="19" max="16384" width="9.140625" style="125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  <c r="P1" s="19"/>
      <c r="Q1" s="19"/>
      <c r="R1" s="1"/>
      <c r="S1" s="1"/>
    </row>
    <row r="2" spans="1:20" ht="18" customHeight="1" x14ac:dyDescent="0.2">
      <c r="A2" s="1"/>
      <c r="B2" s="12"/>
      <c r="C2" s="144" t="s">
        <v>20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0" s="129" customFormat="1" x14ac:dyDescent="0.25">
      <c r="A3" s="79"/>
      <c r="B3" s="117" t="s">
        <v>101</v>
      </c>
      <c r="C3" s="123">
        <v>2007</v>
      </c>
      <c r="D3" s="123">
        <v>2008</v>
      </c>
      <c r="E3" s="123">
        <v>2009</v>
      </c>
      <c r="F3" s="123">
        <v>2010</v>
      </c>
      <c r="G3" s="123">
        <v>2011</v>
      </c>
      <c r="H3" s="123">
        <v>2012</v>
      </c>
      <c r="I3" s="123">
        <v>2013</v>
      </c>
      <c r="J3" s="123">
        <v>2014</v>
      </c>
      <c r="K3" s="123">
        <v>2015</v>
      </c>
      <c r="L3" s="123">
        <v>2016</v>
      </c>
      <c r="M3" s="123">
        <v>2017</v>
      </c>
      <c r="N3" s="123">
        <v>2018</v>
      </c>
      <c r="O3" s="123">
        <v>2019</v>
      </c>
      <c r="P3" s="124">
        <v>2020</v>
      </c>
      <c r="Q3" s="80">
        <v>2021</v>
      </c>
      <c r="R3" s="80" t="s">
        <v>141</v>
      </c>
      <c r="S3" s="80" t="s">
        <v>142</v>
      </c>
    </row>
    <row r="4" spans="1:20" x14ac:dyDescent="0.2">
      <c r="A4" s="1"/>
      <c r="B4" s="13" t="s">
        <v>83</v>
      </c>
      <c r="C4" s="13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9"/>
      <c r="P4" s="19"/>
      <c r="Q4" s="19"/>
      <c r="R4" s="19"/>
      <c r="S4" s="19"/>
    </row>
    <row r="5" spans="1:20" x14ac:dyDescent="0.2">
      <c r="A5" s="1"/>
      <c r="B5" s="12" t="s">
        <v>21</v>
      </c>
      <c r="C5" s="15">
        <v>338572</v>
      </c>
      <c r="D5" s="15">
        <v>353933.709049383</v>
      </c>
      <c r="E5" s="15">
        <v>336695</v>
      </c>
      <c r="F5" s="15">
        <v>433749</v>
      </c>
      <c r="G5" s="15">
        <v>480858.63672000001</v>
      </c>
      <c r="H5" s="15">
        <v>470825</v>
      </c>
      <c r="I5" s="15">
        <v>475455.32827999996</v>
      </c>
      <c r="J5" s="15">
        <v>526862.06652999995</v>
      </c>
      <c r="K5" s="15">
        <v>564849</v>
      </c>
      <c r="L5" s="15">
        <v>456742</v>
      </c>
      <c r="M5" s="15">
        <v>447510</v>
      </c>
      <c r="N5" s="15">
        <v>455637.86681006651</v>
      </c>
      <c r="O5" s="15">
        <v>503900.43143998401</v>
      </c>
      <c r="P5" s="15">
        <v>487815.42860000097</v>
      </c>
      <c r="Q5" s="15">
        <v>557863.63153990381</v>
      </c>
      <c r="R5" s="15">
        <v>270700</v>
      </c>
      <c r="S5" s="15">
        <v>313346.85117001802</v>
      </c>
      <c r="T5" s="135"/>
    </row>
    <row r="6" spans="1:20" x14ac:dyDescent="0.2">
      <c r="A6" s="1"/>
      <c r="B6" s="12" t="s">
        <v>22</v>
      </c>
      <c r="C6" s="15">
        <v>-209881</v>
      </c>
      <c r="D6" s="15">
        <v>-222798.821526257</v>
      </c>
      <c r="E6" s="15">
        <v>-200350</v>
      </c>
      <c r="F6" s="15">
        <v>-195161.76078305542</v>
      </c>
      <c r="G6" s="15">
        <v>-224669.51554281963</v>
      </c>
      <c r="H6" s="15">
        <v>-245997</v>
      </c>
      <c r="I6" s="15">
        <v>-240401.24345686065</v>
      </c>
      <c r="J6" s="15">
        <v>-243831.89957999895</v>
      </c>
      <c r="K6" s="15">
        <v>-260232</v>
      </c>
      <c r="L6" s="15">
        <v>-264102</v>
      </c>
      <c r="M6" s="15">
        <v>-268592.501500001</v>
      </c>
      <c r="N6" s="15">
        <v>-276328.35019459948</v>
      </c>
      <c r="O6" s="15">
        <v>-288414</v>
      </c>
      <c r="P6" s="15">
        <v>-275099.47608849336</v>
      </c>
      <c r="Q6" s="15">
        <v>-310564</v>
      </c>
      <c r="R6" s="15">
        <v>-144148</v>
      </c>
      <c r="S6" s="15">
        <v>-188993.53422999935</v>
      </c>
      <c r="T6" s="135"/>
    </row>
    <row r="7" spans="1:20" x14ac:dyDescent="0.2">
      <c r="A7" s="1"/>
      <c r="B7" s="12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23000</v>
      </c>
      <c r="I7" s="16">
        <v>7500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20" x14ac:dyDescent="0.2">
      <c r="A8" s="1"/>
      <c r="B8" s="17" t="s">
        <v>85</v>
      </c>
      <c r="C8" s="18">
        <f>SUM(C5:C7)</f>
        <v>128691</v>
      </c>
      <c r="D8" s="18">
        <f t="shared" ref="D8:L8" si="0">SUM(D5:D7)</f>
        <v>131134.887523126</v>
      </c>
      <c r="E8" s="18">
        <f t="shared" si="0"/>
        <v>136345</v>
      </c>
      <c r="F8" s="18">
        <f t="shared" si="0"/>
        <v>238587.23921694458</v>
      </c>
      <c r="G8" s="18">
        <f t="shared" si="0"/>
        <v>256189.12117718038</v>
      </c>
      <c r="H8" s="18">
        <f t="shared" si="0"/>
        <v>247828</v>
      </c>
      <c r="I8" s="18">
        <f t="shared" si="0"/>
        <v>242554.0848231393</v>
      </c>
      <c r="J8" s="18">
        <f t="shared" si="0"/>
        <v>283030.16695000103</v>
      </c>
      <c r="K8" s="18">
        <f t="shared" si="0"/>
        <v>304617</v>
      </c>
      <c r="L8" s="18">
        <f t="shared" si="0"/>
        <v>192640</v>
      </c>
      <c r="M8" s="18">
        <f t="shared" ref="M8" si="1">SUM(M5:M7)</f>
        <v>178917.498499999</v>
      </c>
      <c r="N8" s="18">
        <f t="shared" ref="N8:S8" si="2">SUM(N5:N7)</f>
        <v>179309.51661546703</v>
      </c>
      <c r="O8" s="18">
        <f t="shared" si="2"/>
        <v>215486.43143998401</v>
      </c>
      <c r="P8" s="18">
        <f t="shared" si="2"/>
        <v>212715.95251150761</v>
      </c>
      <c r="Q8" s="18">
        <f t="shared" si="2"/>
        <v>247299.63153990381</v>
      </c>
      <c r="R8" s="18">
        <f t="shared" si="2"/>
        <v>126552</v>
      </c>
      <c r="S8" s="18">
        <f t="shared" si="2"/>
        <v>124353.31694001867</v>
      </c>
    </row>
    <row r="9" spans="1:20" x14ac:dyDescent="0.2">
      <c r="A9" s="1"/>
      <c r="B9" s="1"/>
      <c r="C9" s="1"/>
      <c r="D9" s="1"/>
      <c r="E9" s="1"/>
      <c r="F9" s="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0" x14ac:dyDescent="0.2">
      <c r="A10" s="1"/>
      <c r="B10" s="12" t="s">
        <v>24</v>
      </c>
      <c r="C10" s="15">
        <v>-32161</v>
      </c>
      <c r="D10" s="15">
        <v>-13660.52843</v>
      </c>
      <c r="E10" s="15">
        <v>-18043</v>
      </c>
      <c r="F10" s="15">
        <v>-4923</v>
      </c>
      <c r="G10" s="15">
        <v>-30259.458759999998</v>
      </c>
      <c r="H10" s="15">
        <v>-8220.3372199999994</v>
      </c>
      <c r="I10" s="15">
        <v>-23751.429810000001</v>
      </c>
      <c r="J10" s="15">
        <v>-2925.1819</v>
      </c>
      <c r="K10" s="15">
        <v>-5121</v>
      </c>
      <c r="L10" s="15">
        <v>-5229</v>
      </c>
      <c r="M10" s="15">
        <v>-2685</v>
      </c>
      <c r="N10" s="15">
        <v>-270</v>
      </c>
      <c r="O10" s="15">
        <v>-250</v>
      </c>
      <c r="P10" s="15">
        <v>0</v>
      </c>
      <c r="Q10" s="15">
        <v>0</v>
      </c>
      <c r="R10" s="15">
        <v>0</v>
      </c>
      <c r="S10" s="15">
        <v>0</v>
      </c>
    </row>
    <row r="11" spans="1:20" x14ac:dyDescent="0.2">
      <c r="A11" s="1"/>
      <c r="B11" s="12" t="s">
        <v>25</v>
      </c>
      <c r="C11" s="15">
        <v>-934</v>
      </c>
      <c r="D11" s="15">
        <v>-1913</v>
      </c>
      <c r="E11" s="15">
        <v>-1604</v>
      </c>
      <c r="F11" s="15">
        <v>-2163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20" ht="12.75" thickBot="1" x14ac:dyDescent="0.25">
      <c r="A12" s="1"/>
      <c r="B12" s="20" t="s">
        <v>84</v>
      </c>
      <c r="C12" s="21">
        <f t="shared" ref="C12:J12" si="3">SUM(C8,C10:C11)</f>
        <v>95596</v>
      </c>
      <c r="D12" s="21">
        <f t="shared" si="3"/>
        <v>115561.359093126</v>
      </c>
      <c r="E12" s="21">
        <f t="shared" si="3"/>
        <v>116698</v>
      </c>
      <c r="F12" s="21">
        <f t="shared" si="3"/>
        <v>231501.23921694458</v>
      </c>
      <c r="G12" s="21">
        <f t="shared" si="3"/>
        <v>225929.66241718037</v>
      </c>
      <c r="H12" s="21">
        <f t="shared" si="3"/>
        <v>239607.66278000001</v>
      </c>
      <c r="I12" s="21">
        <f t="shared" si="3"/>
        <v>218802.6550131393</v>
      </c>
      <c r="J12" s="21">
        <f t="shared" si="3"/>
        <v>280104.98505000101</v>
      </c>
      <c r="K12" s="21">
        <f t="shared" ref="K12:L12" si="4">SUM(K8,K10:K11)</f>
        <v>299496</v>
      </c>
      <c r="L12" s="21">
        <f t="shared" si="4"/>
        <v>187411</v>
      </c>
      <c r="M12" s="21">
        <f t="shared" ref="M12" si="5">SUM(M8,M10:M11)</f>
        <v>176232.498499999</v>
      </c>
      <c r="N12" s="21">
        <f t="shared" ref="N12:S12" si="6">SUM(N8,N10:N11)</f>
        <v>179039.51661546703</v>
      </c>
      <c r="O12" s="21">
        <f t="shared" si="6"/>
        <v>215236.43143998401</v>
      </c>
      <c r="P12" s="21">
        <f t="shared" si="6"/>
        <v>212715.95251150761</v>
      </c>
      <c r="Q12" s="21">
        <f t="shared" si="6"/>
        <v>247299.63153990381</v>
      </c>
      <c r="R12" s="21">
        <f t="shared" si="6"/>
        <v>126552</v>
      </c>
      <c r="S12" s="21">
        <f t="shared" si="6"/>
        <v>124353.31694001867</v>
      </c>
      <c r="T12" s="135"/>
    </row>
    <row r="13" spans="1:20" ht="12.75" thickTop="1" x14ac:dyDescent="0.2">
      <c r="A13" s="1"/>
      <c r="B13" s="12"/>
      <c r="C13" s="22"/>
      <c r="D13" s="22"/>
      <c r="E13" s="22"/>
      <c r="F13" s="22"/>
      <c r="G13" s="22"/>
      <c r="H13" s="22"/>
      <c r="I13" s="22"/>
      <c r="J13" s="22"/>
      <c r="K13" s="19"/>
      <c r="L13" s="19"/>
      <c r="M13" s="19"/>
      <c r="N13" s="19"/>
      <c r="O13" s="19"/>
      <c r="P13" s="19"/>
      <c r="Q13" s="19"/>
      <c r="R13" s="19"/>
      <c r="S13" s="19"/>
    </row>
    <row r="14" spans="1:20" x14ac:dyDescent="0.2">
      <c r="A14" s="1"/>
      <c r="B14" s="13" t="s">
        <v>105</v>
      </c>
      <c r="C14" s="22"/>
      <c r="D14" s="22"/>
      <c r="E14" s="22"/>
      <c r="F14" s="22"/>
      <c r="G14" s="22"/>
      <c r="H14" s="22"/>
      <c r="I14" s="22"/>
      <c r="J14" s="22"/>
      <c r="K14" s="19"/>
      <c r="L14" s="19"/>
      <c r="M14" s="19"/>
      <c r="N14" s="19"/>
      <c r="O14" s="19"/>
      <c r="P14" s="19"/>
      <c r="Q14" s="19"/>
      <c r="R14" s="19"/>
      <c r="S14" s="19"/>
    </row>
    <row r="15" spans="1:20" x14ac:dyDescent="0.2">
      <c r="A15" s="1"/>
      <c r="B15" s="12" t="s">
        <v>29</v>
      </c>
      <c r="C15" s="22">
        <v>-95846</v>
      </c>
      <c r="D15" s="22">
        <v>-78020.615941999989</v>
      </c>
      <c r="E15" s="22">
        <v>-89976</v>
      </c>
      <c r="F15" s="22">
        <v>-281737.96191933082</v>
      </c>
      <c r="G15" s="22">
        <v>-436028</v>
      </c>
      <c r="H15" s="22">
        <v>-401168</v>
      </c>
      <c r="I15" s="22">
        <f>-148847-48</f>
        <v>-148895</v>
      </c>
      <c r="J15" s="22">
        <v>-86851.786939999904</v>
      </c>
      <c r="K15" s="22">
        <v>-156993</v>
      </c>
      <c r="L15" s="22">
        <v>-200274</v>
      </c>
      <c r="M15" s="22">
        <v>-165265</v>
      </c>
      <c r="N15" s="22">
        <v>-104694.38057539999</v>
      </c>
      <c r="O15" s="22">
        <v>-112151</v>
      </c>
      <c r="P15" s="22">
        <v>-55904</v>
      </c>
      <c r="Q15" s="22">
        <v>-77156.226230000015</v>
      </c>
      <c r="R15" s="22">
        <v>-21361</v>
      </c>
      <c r="S15" s="22">
        <v>-67863.680659999998</v>
      </c>
      <c r="T15" s="135"/>
    </row>
    <row r="16" spans="1:20" x14ac:dyDescent="0.2">
      <c r="A16" s="1"/>
      <c r="B16" s="12" t="s">
        <v>86</v>
      </c>
      <c r="C16" s="22">
        <v>2634</v>
      </c>
      <c r="D16" s="22">
        <v>0</v>
      </c>
      <c r="E16" s="22">
        <v>0</v>
      </c>
      <c r="F16" s="22">
        <v>6300</v>
      </c>
      <c r="G16" s="22">
        <v>0</v>
      </c>
      <c r="H16" s="22">
        <v>3032</v>
      </c>
      <c r="I16" s="22">
        <v>186</v>
      </c>
      <c r="J16" s="22">
        <v>75.521000000000001</v>
      </c>
      <c r="K16" s="22">
        <v>0</v>
      </c>
      <c r="L16" s="22">
        <v>3350</v>
      </c>
      <c r="M16" s="22">
        <v>5132.6455199999991</v>
      </c>
      <c r="N16" s="22">
        <v>17356.636259999999</v>
      </c>
      <c r="O16" s="22">
        <v>13834.571020000001</v>
      </c>
      <c r="P16" s="22">
        <v>2329.85862</v>
      </c>
      <c r="Q16" s="22">
        <v>2902.1655499999997</v>
      </c>
      <c r="R16" s="22">
        <v>4651</v>
      </c>
      <c r="S16" s="22">
        <v>34479.522190000003</v>
      </c>
      <c r="T16" s="134"/>
    </row>
    <row r="17" spans="1:20" x14ac:dyDescent="0.2">
      <c r="A17" s="1"/>
      <c r="B17" s="12" t="s">
        <v>26</v>
      </c>
      <c r="C17" s="15">
        <v>1658</v>
      </c>
      <c r="D17" s="15">
        <v>0</v>
      </c>
      <c r="E17" s="15">
        <v>0</v>
      </c>
      <c r="F17" s="22">
        <v>3349.5183300000008</v>
      </c>
      <c r="G17" s="22">
        <v>9883.2161300000007</v>
      </c>
      <c r="H17" s="22">
        <v>11300</v>
      </c>
      <c r="I17" s="22">
        <v>16763.961676708001</v>
      </c>
      <c r="J17" s="22">
        <v>11523.068930000003</v>
      </c>
      <c r="K17" s="22">
        <v>20992.304030000014</v>
      </c>
      <c r="L17" s="22">
        <v>22435</v>
      </c>
      <c r="M17" s="22">
        <v>14805.433199999999</v>
      </c>
      <c r="N17" s="22">
        <v>11856.373279999998</v>
      </c>
      <c r="O17" s="22">
        <v>12653.359540000003</v>
      </c>
      <c r="P17" s="22">
        <v>16260.760850000001</v>
      </c>
      <c r="Q17" s="22">
        <v>20907.187129999984</v>
      </c>
      <c r="R17" s="22">
        <v>10082</v>
      </c>
      <c r="S17" s="22">
        <v>10505.648699999992</v>
      </c>
      <c r="T17" s="136"/>
    </row>
    <row r="18" spans="1:20" x14ac:dyDescent="0.2">
      <c r="A18" s="1"/>
      <c r="B18" s="12" t="s">
        <v>27</v>
      </c>
      <c r="C18" s="15">
        <v>0</v>
      </c>
      <c r="D18" s="15">
        <v>0</v>
      </c>
      <c r="E18" s="15">
        <v>0</v>
      </c>
      <c r="F18" s="22">
        <v>-11912</v>
      </c>
      <c r="G18" s="22">
        <v>8949</v>
      </c>
      <c r="H18" s="22">
        <v>2963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</row>
    <row r="19" spans="1:20" x14ac:dyDescent="0.2">
      <c r="A19" s="1"/>
      <c r="B19" s="12" t="s">
        <v>87</v>
      </c>
      <c r="C19" s="15">
        <v>0</v>
      </c>
      <c r="D19" s="15">
        <v>0</v>
      </c>
      <c r="E19" s="15">
        <v>0</v>
      </c>
      <c r="F19" s="22">
        <v>-38021</v>
      </c>
      <c r="G19" s="22">
        <v>-38428</v>
      </c>
      <c r="H19" s="22">
        <v>-23872</v>
      </c>
      <c r="I19" s="22">
        <v>95525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-3254</v>
      </c>
      <c r="R19" s="22">
        <v>0</v>
      </c>
      <c r="S19" s="22">
        <v>-214</v>
      </c>
    </row>
    <row r="20" spans="1:20" x14ac:dyDescent="0.2">
      <c r="A20" s="1"/>
      <c r="B20" s="12" t="s">
        <v>28</v>
      </c>
      <c r="C20" s="22">
        <v>181</v>
      </c>
      <c r="D20" s="22">
        <v>386.9</v>
      </c>
      <c r="E20" s="22">
        <v>622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1075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</row>
    <row r="21" spans="1:20" x14ac:dyDescent="0.2">
      <c r="A21" s="1"/>
      <c r="B21" s="12" t="s">
        <v>110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-38507.199999999997</v>
      </c>
      <c r="L21" s="22">
        <v>-32563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-21567.7</v>
      </c>
      <c r="T21" s="135"/>
    </row>
    <row r="22" spans="1:20" x14ac:dyDescent="0.2">
      <c r="A22" s="1"/>
      <c r="B22" s="23" t="s">
        <v>111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62">
        <v>0</v>
      </c>
      <c r="L22" s="62">
        <v>37838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20" ht="12.75" thickBot="1" x14ac:dyDescent="0.25">
      <c r="A23" s="1"/>
      <c r="B23" s="17" t="s">
        <v>30</v>
      </c>
      <c r="C23" s="21">
        <f>SUM(C15:C22)</f>
        <v>-91373</v>
      </c>
      <c r="D23" s="21">
        <f t="shared" ref="D23:L23" si="7">SUM(D15:D22)</f>
        <v>-77633.715941999995</v>
      </c>
      <c r="E23" s="21">
        <f t="shared" si="7"/>
        <v>-89354</v>
      </c>
      <c r="F23" s="21">
        <f t="shared" si="7"/>
        <v>-322021.44358933083</v>
      </c>
      <c r="G23" s="21">
        <f t="shared" si="7"/>
        <v>-455623.78386999998</v>
      </c>
      <c r="H23" s="21">
        <f t="shared" si="7"/>
        <v>-407745</v>
      </c>
      <c r="I23" s="21">
        <f t="shared" si="7"/>
        <v>-36420.038323291985</v>
      </c>
      <c r="J23" s="21">
        <f t="shared" si="7"/>
        <v>-75253.197009999902</v>
      </c>
      <c r="K23" s="21">
        <f t="shared" si="7"/>
        <v>-174507.89597000001</v>
      </c>
      <c r="L23" s="21">
        <f t="shared" si="7"/>
        <v>-168139</v>
      </c>
      <c r="M23" s="21">
        <f t="shared" ref="M23" si="8">SUM(M15:M22)</f>
        <v>-145326.92128000001</v>
      </c>
      <c r="N23" s="21">
        <f t="shared" ref="N23:S23" si="9">SUM(N15:N22)</f>
        <v>-75481.371035399992</v>
      </c>
      <c r="O23" s="21">
        <f t="shared" si="9"/>
        <v>-85663.069439999992</v>
      </c>
      <c r="P23" s="21">
        <f t="shared" si="9"/>
        <v>-37313.380530000002</v>
      </c>
      <c r="Q23" s="21">
        <f t="shared" si="9"/>
        <v>-56600.873550000026</v>
      </c>
      <c r="R23" s="21">
        <f>SUM(R15:R22)</f>
        <v>-6628</v>
      </c>
      <c r="S23" s="21">
        <f t="shared" si="9"/>
        <v>-44660.209770000001</v>
      </c>
      <c r="T23" s="135"/>
    </row>
    <row r="24" spans="1:20" ht="12.75" thickTop="1" x14ac:dyDescent="0.2">
      <c r="A24" s="1"/>
      <c r="B24" s="19"/>
      <c r="C24" s="1"/>
      <c r="D24" s="1"/>
      <c r="E24" s="1"/>
      <c r="F24" s="1"/>
      <c r="G24" s="1"/>
      <c r="H24" s="1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</row>
    <row r="25" spans="1:20" x14ac:dyDescent="0.2">
      <c r="A25" s="1"/>
      <c r="B25" s="13" t="s">
        <v>88</v>
      </c>
      <c r="C25" s="22"/>
      <c r="D25" s="22"/>
      <c r="E25" s="22"/>
      <c r="F25" s="22"/>
      <c r="G25" s="22"/>
      <c r="H25" s="22"/>
      <c r="I25" s="22"/>
      <c r="J25" s="22"/>
      <c r="K25" s="19"/>
      <c r="L25" s="19"/>
      <c r="M25" s="19"/>
      <c r="N25" s="19"/>
      <c r="O25" s="19"/>
      <c r="P25" s="19"/>
      <c r="Q25" s="19"/>
      <c r="R25" s="19"/>
      <c r="S25" s="19"/>
    </row>
    <row r="26" spans="1:20" x14ac:dyDescent="0.2">
      <c r="A26" s="12"/>
      <c r="B26" s="12" t="s">
        <v>33</v>
      </c>
      <c r="C26" s="22">
        <v>0</v>
      </c>
      <c r="D26" s="22">
        <v>24013.839639999998</v>
      </c>
      <c r="E26" s="22">
        <v>27900</v>
      </c>
      <c r="F26" s="22">
        <v>455109.1874</v>
      </c>
      <c r="G26" s="22">
        <v>1144.16381</v>
      </c>
      <c r="H26" s="22">
        <v>396182</v>
      </c>
      <c r="I26" s="15">
        <v>0</v>
      </c>
      <c r="J26" s="15">
        <v>0</v>
      </c>
      <c r="K26" s="22">
        <v>0</v>
      </c>
      <c r="L26" s="22">
        <v>42349</v>
      </c>
      <c r="M26" s="22">
        <v>50248.045529999996</v>
      </c>
      <c r="N26" s="22">
        <v>0</v>
      </c>
      <c r="O26" s="22">
        <v>0</v>
      </c>
      <c r="P26" s="22">
        <v>0</v>
      </c>
      <c r="Q26" s="22">
        <v>1577388.7951500001</v>
      </c>
      <c r="R26" s="142">
        <v>1577389</v>
      </c>
      <c r="S26" s="22">
        <v>0</v>
      </c>
    </row>
    <row r="27" spans="1:20" x14ac:dyDescent="0.2">
      <c r="A27" s="12"/>
      <c r="B27" s="12" t="s">
        <v>34</v>
      </c>
      <c r="C27" s="22">
        <v>-3749</v>
      </c>
      <c r="D27" s="22">
        <v>-12890.358107370001</v>
      </c>
      <c r="E27" s="22">
        <v>-21146</v>
      </c>
      <c r="F27" s="22">
        <v>-28974.787013753998</v>
      </c>
      <c r="G27" s="22">
        <v>-477.08605999999997</v>
      </c>
      <c r="H27" s="22">
        <v>-635</v>
      </c>
      <c r="I27" s="22">
        <v>-32.467073140999986</v>
      </c>
      <c r="J27" s="22">
        <v>0</v>
      </c>
      <c r="K27" s="22">
        <v>-62514.432000000001</v>
      </c>
      <c r="L27" s="22">
        <v>0</v>
      </c>
      <c r="M27" s="22">
        <v>-10996.051520000001</v>
      </c>
      <c r="N27" s="22">
        <v>-11326.544680000001</v>
      </c>
      <c r="O27" s="22">
        <v>-12343.45132</v>
      </c>
      <c r="P27" s="22">
        <v>-14310</v>
      </c>
      <c r="Q27" s="22">
        <v>-1589975</v>
      </c>
      <c r="R27" s="142">
        <v>-1583072</v>
      </c>
      <c r="S27" s="22">
        <v>-6620.1389100000006</v>
      </c>
    </row>
    <row r="28" spans="1:20" x14ac:dyDescent="0.2">
      <c r="A28" s="12"/>
      <c r="B28" s="12" t="s">
        <v>134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-115686.19231999999</v>
      </c>
      <c r="R28" s="142">
        <v>-115686</v>
      </c>
      <c r="S28" s="22">
        <v>0</v>
      </c>
    </row>
    <row r="29" spans="1:20" x14ac:dyDescent="0.2">
      <c r="A29" s="12"/>
      <c r="B29" s="12" t="s">
        <v>137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15">
        <v>0</v>
      </c>
      <c r="J29" s="1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-3976</v>
      </c>
      <c r="R29" s="142">
        <v>0</v>
      </c>
      <c r="S29" s="22">
        <v>0</v>
      </c>
    </row>
    <row r="30" spans="1:20" x14ac:dyDescent="0.2">
      <c r="A30" s="12"/>
      <c r="B30" s="12" t="s">
        <v>31</v>
      </c>
      <c r="C30" s="22">
        <v>-5795</v>
      </c>
      <c r="D30" s="22">
        <v>9868</v>
      </c>
      <c r="E30" s="22">
        <v>0</v>
      </c>
      <c r="F30" s="22">
        <v>0</v>
      </c>
      <c r="G30" s="22">
        <v>0</v>
      </c>
      <c r="H30" s="15">
        <v>0</v>
      </c>
      <c r="I30" s="15">
        <v>0</v>
      </c>
      <c r="J30" s="15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142">
        <v>0</v>
      </c>
      <c r="S30" s="22">
        <v>0</v>
      </c>
    </row>
    <row r="31" spans="1:20" x14ac:dyDescent="0.2">
      <c r="A31" s="12"/>
      <c r="B31" s="12" t="s">
        <v>25</v>
      </c>
      <c r="C31" s="15">
        <v>0</v>
      </c>
      <c r="D31" s="15">
        <v>0</v>
      </c>
      <c r="E31" s="15">
        <v>0</v>
      </c>
      <c r="F31" s="15">
        <v>0</v>
      </c>
      <c r="G31" s="15">
        <v>-43080.442680692999</v>
      </c>
      <c r="H31" s="22">
        <v>-22915.4355</v>
      </c>
      <c r="I31" s="15">
        <v>-69764.074511457278</v>
      </c>
      <c r="J31" s="15">
        <v>-72826.335760000002</v>
      </c>
      <c r="K31" s="22">
        <v>-85730.592000000004</v>
      </c>
      <c r="L31" s="22">
        <v>-91948</v>
      </c>
      <c r="M31" s="22">
        <v>-103126.42929</v>
      </c>
      <c r="N31" s="22">
        <v>-101022.08243000001</v>
      </c>
      <c r="O31" s="22">
        <v>-110032.8769</v>
      </c>
      <c r="P31" s="22">
        <v>-117300</v>
      </c>
      <c r="Q31" s="22">
        <v>-152779.71646</v>
      </c>
      <c r="R31" s="142">
        <v>-121271</v>
      </c>
      <c r="S31" s="22">
        <v>-30175.95061</v>
      </c>
    </row>
    <row r="32" spans="1:20" x14ac:dyDescent="0.2">
      <c r="A32" s="12"/>
      <c r="B32" s="12" t="s">
        <v>32</v>
      </c>
      <c r="C32" s="15">
        <v>-12450</v>
      </c>
      <c r="D32" s="15">
        <v>-60000</v>
      </c>
      <c r="E32" s="15">
        <v>-36000</v>
      </c>
      <c r="F32" s="15">
        <v>-36000</v>
      </c>
      <c r="G32" s="15">
        <v>0</v>
      </c>
      <c r="H32" s="15">
        <v>-150725.22</v>
      </c>
      <c r="I32" s="22">
        <v>-25000</v>
      </c>
      <c r="J32" s="22">
        <v>-50329.826000000001</v>
      </c>
      <c r="K32" s="22">
        <v>-21852.173999999999</v>
      </c>
      <c r="L32" s="22">
        <v>-1607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x14ac:dyDescent="0.2">
      <c r="A33" s="12"/>
      <c r="B33" s="12" t="s">
        <v>35</v>
      </c>
      <c r="C33" s="22">
        <v>0</v>
      </c>
      <c r="D33" s="22">
        <v>0</v>
      </c>
      <c r="E33" s="22">
        <v>0</v>
      </c>
      <c r="F33" s="22">
        <v>0</v>
      </c>
      <c r="G33" s="22">
        <v>20000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</row>
    <row r="34" spans="1:19" x14ac:dyDescent="0.2">
      <c r="A34" s="12"/>
      <c r="B34" s="12" t="s">
        <v>36</v>
      </c>
      <c r="C34" s="22">
        <v>0</v>
      </c>
      <c r="D34" s="22">
        <v>0</v>
      </c>
      <c r="E34" s="22">
        <v>0</v>
      </c>
      <c r="F34" s="22">
        <v>0</v>
      </c>
      <c r="G34" s="22">
        <v>-1527.43339105</v>
      </c>
      <c r="H34" s="22">
        <v>-3101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</row>
    <row r="35" spans="1:19" ht="12.75" thickBot="1" x14ac:dyDescent="0.25">
      <c r="A35" s="12"/>
      <c r="B35" s="24" t="s">
        <v>89</v>
      </c>
      <c r="C35" s="21">
        <f t="shared" ref="C35:P35" si="10">SUM(C26:C34)</f>
        <v>-21994</v>
      </c>
      <c r="D35" s="21">
        <f t="shared" si="10"/>
        <v>-39008.518467369999</v>
      </c>
      <c r="E35" s="21">
        <f t="shared" si="10"/>
        <v>-29246</v>
      </c>
      <c r="F35" s="21">
        <f t="shared" si="10"/>
        <v>390134.40038624598</v>
      </c>
      <c r="G35" s="21">
        <f t="shared" si="10"/>
        <v>-23940.798321743001</v>
      </c>
      <c r="H35" s="21">
        <f t="shared" si="10"/>
        <v>218805.34449999998</v>
      </c>
      <c r="I35" s="21">
        <f t="shared" si="10"/>
        <v>-94796.541584598279</v>
      </c>
      <c r="J35" s="21">
        <f t="shared" si="10"/>
        <v>-123156.16176</v>
      </c>
      <c r="K35" s="21">
        <f t="shared" si="10"/>
        <v>-170097.198</v>
      </c>
      <c r="L35" s="21">
        <f t="shared" si="10"/>
        <v>-51206</v>
      </c>
      <c r="M35" s="21">
        <f t="shared" si="10"/>
        <v>-63874.435280000005</v>
      </c>
      <c r="N35" s="21">
        <f t="shared" si="10"/>
        <v>-112348.62711000002</v>
      </c>
      <c r="O35" s="21">
        <f t="shared" si="10"/>
        <v>-122376.32822</v>
      </c>
      <c r="P35" s="21">
        <f t="shared" si="10"/>
        <v>-131610</v>
      </c>
      <c r="Q35" s="21">
        <f>SUM(Q26:Q34)</f>
        <v>-285028.1136299998</v>
      </c>
      <c r="R35" s="21">
        <f>SUM(R26:R34)</f>
        <v>-242640</v>
      </c>
      <c r="S35" s="21">
        <f>SUM(S26:S34)</f>
        <v>-36796.089520000001</v>
      </c>
    </row>
    <row r="36" spans="1:19" ht="12.75" thickTop="1" x14ac:dyDescent="0.2">
      <c r="A36" s="1"/>
      <c r="B36" s="12"/>
      <c r="C36" s="12"/>
      <c r="D36" s="22"/>
      <c r="E36" s="22"/>
      <c r="F36" s="22"/>
      <c r="G36" s="22"/>
      <c r="H36" s="25"/>
      <c r="I36" s="22"/>
      <c r="J36" s="22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">
      <c r="A37" s="1"/>
      <c r="B37" s="13" t="s">
        <v>37</v>
      </c>
      <c r="C37" s="25">
        <f t="shared" ref="C37:P37" si="11">C35+C23+C12</f>
        <v>-17771</v>
      </c>
      <c r="D37" s="25">
        <f t="shared" si="11"/>
        <v>-1080.8753162439971</v>
      </c>
      <c r="E37" s="25">
        <f t="shared" si="11"/>
        <v>-1902</v>
      </c>
      <c r="F37" s="25">
        <f t="shared" si="11"/>
        <v>299614.19601385971</v>
      </c>
      <c r="G37" s="25">
        <f t="shared" si="11"/>
        <v>-253634.91977456259</v>
      </c>
      <c r="H37" s="25">
        <f t="shared" si="11"/>
        <v>50668.007279999991</v>
      </c>
      <c r="I37" s="25">
        <f t="shared" si="11"/>
        <v>87586.075105249038</v>
      </c>
      <c r="J37" s="25">
        <f t="shared" si="11"/>
        <v>81695.626280001103</v>
      </c>
      <c r="K37" s="25">
        <f t="shared" si="11"/>
        <v>-45109.093970000045</v>
      </c>
      <c r="L37" s="25">
        <f t="shared" si="11"/>
        <v>-31934</v>
      </c>
      <c r="M37" s="25">
        <f t="shared" si="11"/>
        <v>-32968.858060001017</v>
      </c>
      <c r="N37" s="25">
        <f t="shared" si="11"/>
        <v>-8790.481529932993</v>
      </c>
      <c r="O37" s="25">
        <f t="shared" si="11"/>
        <v>7197.0337799840199</v>
      </c>
      <c r="P37" s="25">
        <f t="shared" si="11"/>
        <v>43792.571981507615</v>
      </c>
      <c r="Q37" s="25">
        <f>Q35+Q23+Q12</f>
        <v>-94329.355640096008</v>
      </c>
      <c r="R37" s="25">
        <f>R35+R23+R12</f>
        <v>-122716</v>
      </c>
      <c r="S37" s="25">
        <f>S35+S23+S12</f>
        <v>42897.017650018679</v>
      </c>
    </row>
    <row r="38" spans="1:19" x14ac:dyDescent="0.2">
      <c r="A38" s="1"/>
      <c r="B38" s="1"/>
      <c r="C38" s="1"/>
      <c r="D38" s="1"/>
      <c r="E38" s="1"/>
      <c r="F38" s="1"/>
      <c r="G38" s="19"/>
      <c r="H38" s="15"/>
      <c r="I38" s="25"/>
      <c r="J38" s="25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2">
      <c r="A39" s="1"/>
      <c r="B39" s="13" t="s">
        <v>38</v>
      </c>
      <c r="C39" s="16">
        <v>21557</v>
      </c>
      <c r="D39" s="16">
        <v>4211</v>
      </c>
      <c r="E39" s="16">
        <v>3196</v>
      </c>
      <c r="F39" s="16">
        <v>1361</v>
      </c>
      <c r="G39" s="16">
        <v>323943</v>
      </c>
      <c r="H39" s="16">
        <v>61553.262980000014</v>
      </c>
      <c r="I39" s="16">
        <v>115076</v>
      </c>
      <c r="J39" s="16">
        <v>208995.8</v>
      </c>
      <c r="K39" s="16">
        <v>300982.8069477526</v>
      </c>
      <c r="L39" s="16">
        <v>294784</v>
      </c>
      <c r="M39" s="16">
        <v>277953</v>
      </c>
      <c r="N39" s="16">
        <v>243018.10546000002</v>
      </c>
      <c r="O39" s="16">
        <v>241307.67273999995</v>
      </c>
      <c r="P39" s="16">
        <v>257975.53618998398</v>
      </c>
      <c r="Q39" s="16">
        <v>322985.50817149202</v>
      </c>
      <c r="R39" s="16">
        <v>322986</v>
      </c>
      <c r="S39" s="16">
        <v>212224.42129999999</v>
      </c>
    </row>
    <row r="40" spans="1:19" x14ac:dyDescent="0.2">
      <c r="A40" s="1"/>
      <c r="B40" s="1"/>
      <c r="C40" s="1"/>
      <c r="D40" s="26"/>
      <c r="E40" s="26"/>
      <c r="F40" s="26"/>
      <c r="G40" s="27"/>
      <c r="H40" s="15"/>
      <c r="I40" s="15"/>
      <c r="J40" s="15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24" x14ac:dyDescent="0.2">
      <c r="A41" s="1"/>
      <c r="B41" s="28" t="s">
        <v>39</v>
      </c>
      <c r="C41" s="29">
        <v>425</v>
      </c>
      <c r="D41" s="15">
        <v>67.184630713994636</v>
      </c>
      <c r="E41" s="15">
        <v>67</v>
      </c>
      <c r="F41" s="15">
        <v>22968.004770000003</v>
      </c>
      <c r="G41" s="15">
        <v>-8755.1279425430184</v>
      </c>
      <c r="H41" s="15">
        <v>2854</v>
      </c>
      <c r="I41" s="15">
        <v>6333</v>
      </c>
      <c r="J41" s="15">
        <v>10292.07428999998</v>
      </c>
      <c r="K41" s="15">
        <v>38909.872560000113</v>
      </c>
      <c r="L41" s="15">
        <v>15103</v>
      </c>
      <c r="M41" s="15">
        <v>-1966.2626300000186</v>
      </c>
      <c r="N41" s="15">
        <v>7635.4891000000098</v>
      </c>
      <c r="O41" s="15">
        <v>9485.8296699999992</v>
      </c>
      <c r="P41" s="15">
        <v>20968</v>
      </c>
      <c r="Q41" s="15">
        <v>-16473</v>
      </c>
      <c r="R41" s="142">
        <v>-15976</v>
      </c>
      <c r="S41" s="15">
        <v>-2711.4034000000001</v>
      </c>
    </row>
    <row r="42" spans="1:19" x14ac:dyDescent="0.2">
      <c r="A42" s="1"/>
      <c r="B42" s="1" t="s">
        <v>129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15">
        <v>-555.36076171418586</v>
      </c>
      <c r="O42" s="15">
        <v>-15</v>
      </c>
      <c r="P42" s="15">
        <v>249.4</v>
      </c>
      <c r="Q42" s="15">
        <v>40.4</v>
      </c>
      <c r="R42" s="142">
        <v>-24</v>
      </c>
      <c r="S42" s="15">
        <v>-27.465060000000015</v>
      </c>
    </row>
    <row r="43" spans="1:19" x14ac:dyDescent="0.2">
      <c r="A43" s="1"/>
      <c r="B43" s="1"/>
      <c r="C43" s="1"/>
      <c r="D43" s="1"/>
      <c r="E43" s="1"/>
      <c r="F43" s="1"/>
      <c r="G43" s="19"/>
      <c r="H43" s="18"/>
      <c r="I43" s="15"/>
      <c r="J43" s="15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.75" thickBot="1" x14ac:dyDescent="0.25">
      <c r="A44" s="1"/>
      <c r="B44" s="13" t="s">
        <v>40</v>
      </c>
      <c r="C44" s="30">
        <f>ROUND(SUM(C37,C39,C41),0)</f>
        <v>4211</v>
      </c>
      <c r="D44" s="30">
        <f>ROUND(SUM(D37,D39,D41),0)</f>
        <v>3197</v>
      </c>
      <c r="E44" s="30">
        <f>ROUND(SUM(E37,E39,E41),0)</f>
        <v>1361</v>
      </c>
      <c r="F44" s="30">
        <f>ROUND(SUM(F37,F39,F41),0)</f>
        <v>323943</v>
      </c>
      <c r="G44" s="30">
        <f t="shared" ref="G44:M44" si="12">SUM(G37,G39,G41)</f>
        <v>61552.952282894395</v>
      </c>
      <c r="H44" s="30">
        <f t="shared" si="12"/>
        <v>115075.27026</v>
      </c>
      <c r="I44" s="30">
        <f t="shared" si="12"/>
        <v>208995.07510524904</v>
      </c>
      <c r="J44" s="30">
        <f t="shared" si="12"/>
        <v>300983.50057000102</v>
      </c>
      <c r="K44" s="30">
        <f t="shared" si="12"/>
        <v>294783.58553775266</v>
      </c>
      <c r="L44" s="30">
        <f t="shared" si="12"/>
        <v>277953</v>
      </c>
      <c r="M44" s="30">
        <f t="shared" si="12"/>
        <v>243017.87930999897</v>
      </c>
      <c r="N44" s="30">
        <f t="shared" ref="N44:S44" si="13">SUM(N37,N39,N41,N42)</f>
        <v>241307.75226835284</v>
      </c>
      <c r="O44" s="30">
        <f t="shared" si="13"/>
        <v>257975.53618998398</v>
      </c>
      <c r="P44" s="30">
        <f t="shared" si="13"/>
        <v>322985.50817149162</v>
      </c>
      <c r="Q44" s="30">
        <f t="shared" si="13"/>
        <v>212223.55253139601</v>
      </c>
      <c r="R44" s="30">
        <f>SUM(R37,R39,R41,R42)</f>
        <v>184270</v>
      </c>
      <c r="S44" s="30">
        <f t="shared" si="13"/>
        <v>252382.57049001867</v>
      </c>
    </row>
    <row r="45" spans="1:19" ht="12.75" thickTop="1" x14ac:dyDescent="0.2">
      <c r="A45" s="1"/>
      <c r="B45" s="1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19"/>
    </row>
    <row r="46" spans="1:19" x14ac:dyDescent="0.2">
      <c r="A46" s="1"/>
      <c r="B46" s="6"/>
      <c r="C46" s="31"/>
      <c r="D46" s="32"/>
      <c r="E46" s="32"/>
      <c r="F46" s="32"/>
      <c r="G46" s="33"/>
      <c r="H46" s="34"/>
      <c r="I46" s="18"/>
      <c r="J46" s="18"/>
      <c r="K46" s="19"/>
      <c r="L46" s="19"/>
      <c r="M46" s="19"/>
      <c r="N46" s="73"/>
      <c r="O46" s="73"/>
      <c r="P46" s="19"/>
      <c r="Q46" s="19"/>
      <c r="R46" s="19"/>
      <c r="S46" s="19"/>
    </row>
    <row r="47" spans="1:19" x14ac:dyDescent="0.2">
      <c r="A47" s="1"/>
      <c r="B47" s="35" t="s">
        <v>41</v>
      </c>
      <c r="C47" s="36"/>
      <c r="D47" s="36"/>
      <c r="E47" s="36"/>
      <c r="F47" s="36"/>
      <c r="G47" s="37">
        <v>2963</v>
      </c>
      <c r="H47" s="34"/>
      <c r="I47" s="38"/>
      <c r="J47" s="38"/>
      <c r="K47" s="19"/>
      <c r="L47" s="19"/>
      <c r="M47" s="19"/>
      <c r="N47" s="19"/>
      <c r="O47" s="19"/>
      <c r="P47" s="73"/>
      <c r="Q47" s="19"/>
      <c r="R47" s="19"/>
      <c r="S47" s="19"/>
    </row>
    <row r="48" spans="1:19" ht="12.75" thickBot="1" x14ac:dyDescent="0.25">
      <c r="A48" s="1"/>
      <c r="B48" s="35" t="s">
        <v>42</v>
      </c>
      <c r="C48" s="39"/>
      <c r="D48" s="39"/>
      <c r="E48" s="39"/>
      <c r="F48" s="39"/>
      <c r="G48" s="40">
        <v>76449</v>
      </c>
      <c r="H48" s="40">
        <v>100321.483502884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.75" thickTop="1" x14ac:dyDescent="0.2">
      <c r="A49" s="1"/>
      <c r="B49" s="6"/>
      <c r="C49" s="6"/>
      <c r="D49" s="42"/>
      <c r="E49" s="42"/>
      <c r="F49" s="42"/>
      <c r="G49" s="1"/>
      <c r="H49" s="43"/>
      <c r="I49" s="44"/>
      <c r="J49" s="44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2">
      <c r="A50" s="1"/>
      <c r="B50" s="13" t="s">
        <v>43</v>
      </c>
      <c r="C50" s="137">
        <f t="shared" ref="C50:F50" si="14">SUM(C44,C47,C48)</f>
        <v>4211</v>
      </c>
      <c r="D50" s="137">
        <f t="shared" si="14"/>
        <v>3197</v>
      </c>
      <c r="E50" s="137">
        <f t="shared" si="14"/>
        <v>1361</v>
      </c>
      <c r="F50" s="137">
        <f t="shared" si="14"/>
        <v>323943</v>
      </c>
      <c r="G50" s="137">
        <f>SUM(G44,G47,G48)</f>
        <v>140964.9522828944</v>
      </c>
      <c r="H50" s="137">
        <f>SUM(H44,H47,H48)</f>
        <v>215396.75376288401</v>
      </c>
      <c r="I50" s="138">
        <f>SUM(I44,I47,I48)</f>
        <v>208995.07510524904</v>
      </c>
      <c r="J50" s="138">
        <f>SUM(J44,J47,J48)</f>
        <v>300983.50057000102</v>
      </c>
      <c r="K50" s="138">
        <f t="shared" ref="K50:L50" si="15">SUM(K44,K47,K48)</f>
        <v>294783.58553775266</v>
      </c>
      <c r="L50" s="138">
        <f t="shared" si="15"/>
        <v>277953</v>
      </c>
      <c r="M50" s="138">
        <f t="shared" ref="M50" si="16">SUM(M44,M47,M48)</f>
        <v>243017.87930999897</v>
      </c>
      <c r="N50" s="138">
        <f t="shared" ref="N50:Q50" si="17">SUM(N44,N47,N48)</f>
        <v>241307.75226835284</v>
      </c>
      <c r="O50" s="138">
        <f t="shared" si="17"/>
        <v>257975.53618998398</v>
      </c>
      <c r="P50" s="138">
        <f t="shared" si="17"/>
        <v>322985.50817149162</v>
      </c>
      <c r="Q50" s="138">
        <f t="shared" si="17"/>
        <v>212223.55253139601</v>
      </c>
      <c r="R50" s="138">
        <f>SUM(R44,R47,R48)</f>
        <v>184270</v>
      </c>
      <c r="S50" s="138">
        <f>SUM(S44,S47,S48)</f>
        <v>252382.57049001867</v>
      </c>
    </row>
    <row r="52" spans="1:19" x14ac:dyDescent="0.2">
      <c r="P52" s="139"/>
    </row>
    <row r="54" spans="1:19" x14ac:dyDescent="0.2">
      <c r="P54" s="139"/>
    </row>
  </sheetData>
  <mergeCells count="1">
    <mergeCell ref="C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2022-08-15T12:33:26Z</dcterms:modified>
</cp:coreProperties>
</file>